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Tableau d'amortissement" sheetId="2" state="visible" r:id="rId2"/>
    <sheet xmlns:r="http://schemas.openxmlformats.org/officeDocument/2006/relationships" name="Par anné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€&quot;;-#,##0 &quot;€&quot;;&quot;–&quot;"/>
    <numFmt numFmtId="165" formatCode="0.00 %"/>
    <numFmt numFmtId="166" formatCode="yyyy-mm-dd"/>
    <numFmt numFmtId="167" formatCode="dd/mm/yyyy"/>
    <numFmt numFmtId="168" formatCode="#,##0.00 &quot;€&quot;;-#,##0.00 &quot;€&quot;;&quot;–&quot;"/>
  </numFmts>
  <fonts count="15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0E2248"/>
      <sz val="12"/>
    </font>
    <font>
      <name val="Figtree"/>
      <b val="1"/>
      <color rgb="001E2D42"/>
      <sz val="12"/>
    </font>
    <font>
      <name val="Figtree"/>
      <b val="1"/>
      <color rgb="001A3A6A"/>
      <sz val="11"/>
    </font>
    <font>
      <name val="Figtree"/>
      <b val="1"/>
      <color rgb="000E2248"/>
      <sz val="14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b val="1"/>
      <color rgb="001E2D42"/>
      <sz val="10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F6F7FB"/>
        <bgColor rgb="00F6F7FB"/>
      </patternFill>
    </fill>
    <fill>
      <patternFill patternType="solid">
        <fgColor rgb="001A3A6A"/>
        <bgColor rgb="001A3A6A"/>
      </patternFill>
    </fill>
  </fills>
  <borders count="5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medium">
        <color rgb="00F5CC4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3" fillId="0" borderId="1" pivotButton="0" quotePrefix="0" xfId="0"/>
    <xf numFmtId="0" fontId="4" fillId="0" borderId="0" pivotButton="0" quotePrefix="0" xfId="0"/>
    <xf numFmtId="164" fontId="8" fillId="4" borderId="2" applyAlignment="1" pivotButton="0" quotePrefix="0" xfId="0">
      <alignment horizontal="right"/>
    </xf>
    <xf numFmtId="0" fontId="4" fillId="5" borderId="3" pivotButton="0" quotePrefix="0" xfId="0"/>
    <xf numFmtId="0" fontId="0" fillId="5" borderId="3" pivotButton="0" quotePrefix="0" xfId="0"/>
    <xf numFmtId="168" fontId="9" fillId="5" borderId="3" applyAlignment="1" pivotButton="0" quotePrefix="0" xfId="0">
      <alignment horizontal="right"/>
    </xf>
    <xf numFmtId="165" fontId="8" fillId="4" borderId="2" applyAlignment="1" pivotButton="0" quotePrefix="0" xfId="0">
      <alignment horizontal="right"/>
    </xf>
    <xf numFmtId="1" fontId="8" fillId="4" borderId="2" applyAlignment="1" pivotButton="0" quotePrefix="0" xfId="0">
      <alignment horizontal="right"/>
    </xf>
    <xf numFmtId="0" fontId="10" fillId="5" borderId="3" pivotButton="0" quotePrefix="0" xfId="0"/>
    <xf numFmtId="168" fontId="11" fillId="5" borderId="3" applyAlignment="1" pivotButton="0" quotePrefix="0" xfId="0">
      <alignment horizontal="right"/>
    </xf>
    <xf numFmtId="167" fontId="8" fillId="4" borderId="2" applyAlignment="1" pivotButton="0" quotePrefix="0" xfId="0">
      <alignment horizontal="right"/>
    </xf>
    <xf numFmtId="164" fontId="9" fillId="5" borderId="3" applyAlignment="1" pivotButton="0" quotePrefix="0" xfId="0">
      <alignment horizontal="right"/>
    </xf>
    <xf numFmtId="0" fontId="7" fillId="0" borderId="0" pivotButton="0" quotePrefix="0" xfId="0"/>
    <xf numFmtId="164" fontId="11" fillId="5" borderId="3" applyAlignment="1" pivotButton="0" quotePrefix="0" xfId="0">
      <alignment horizontal="right"/>
    </xf>
    <xf numFmtId="167" fontId="9" fillId="5" borderId="3" applyAlignment="1" pivotButton="0" quotePrefix="0" xfId="0">
      <alignment horizontal="right"/>
    </xf>
    <xf numFmtId="0" fontId="12" fillId="6" borderId="0" applyAlignment="1" pivotButton="0" quotePrefix="0" xfId="0">
      <alignment horizontal="center" vertical="center" wrapText="1"/>
    </xf>
    <xf numFmtId="1" fontId="13" fillId="0" borderId="2" applyAlignment="1" pivotButton="0" quotePrefix="0" xfId="0">
      <alignment horizontal="center"/>
    </xf>
    <xf numFmtId="167" fontId="13" fillId="0" borderId="2" pivotButton="0" quotePrefix="0" xfId="0"/>
    <xf numFmtId="168" fontId="14" fillId="0" borderId="2" pivotButton="0" quotePrefix="0" xfId="0"/>
    <xf numFmtId="168" fontId="13" fillId="0" borderId="2" pivotButton="0" quotePrefix="0" xfId="0"/>
    <xf numFmtId="1" fontId="13" fillId="0" borderId="4" applyAlignment="1" pivotButton="0" quotePrefix="0" xfId="0">
      <alignment horizontal="center"/>
    </xf>
    <xf numFmtId="167" fontId="13" fillId="0" borderId="4" pivotButton="0" quotePrefix="0" xfId="0"/>
    <xf numFmtId="168" fontId="14" fillId="0" borderId="4" pivotButton="0" quotePrefix="0" xfId="0"/>
    <xf numFmtId="168" fontId="13" fillId="0" borderId="4" pivotButton="0" quotePrefix="0" xfId="0"/>
    <xf numFmtId="164" fontId="1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Ce que paie chaque année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'Par année'!C6</f>
            </strRef>
          </tx>
          <spPr>
            <a:solidFill xmlns:a="http://schemas.openxmlformats.org/drawingml/2006/main">
              <a:srgbClr val="C8980A"/>
            </a:solidFill>
            <a:ln xmlns:a="http://schemas.openxmlformats.org/drawingml/2006/main">
              <a:prstDash val="solid"/>
            </a:ln>
          </spPr>
          <cat>
            <numRef>
              <f>'Par année'!$B$7:$B$37</f>
            </numRef>
          </cat>
          <val>
            <numRef>
              <f>'Par année'!$C$7:$C$37</f>
            </numRef>
          </val>
        </ser>
        <ser>
          <idx val="1"/>
          <order val="1"/>
          <tx>
            <strRef>
              <f>'Par année'!D6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'Par année'!$B$7:$B$37</f>
            </numRef>
          </cat>
          <val>
            <numRef>
              <f>'Par année'!$D$7:$D$37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Capital restant dû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'Par année'!G6</f>
            </strRef>
          </tx>
          <spPr>
            <a:solidFill xmlns:a="http://schemas.openxmlformats.org/drawingml/2006/main">
              <a:srgbClr val="0E2248"/>
            </a:solidFill>
            <a:ln xmlns:a="http://schemas.openxmlformats.org/drawingml/2006/main">
              <a:prstDash val="solid"/>
            </a:ln>
          </spPr>
          <cat>
            <numRef>
              <f>'Par année'!$B$7:$B$37</f>
            </numRef>
          </cat>
          <val>
            <numRef>
              <f>'Par année'!$G$7:$G$37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5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22</row>
      <rowOff>0</rowOff>
    </from>
    <ext cx="61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17</col>
      <colOff>0</colOff>
      <row>0</row>
      <rowOff>0</rowOff>
    </from>
    <ext cx="4191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?utm_source=modele-credit&amp;utm_medium=fichier&amp;utm_campaign=modele-credit" TargetMode="External" Id="rId1"/><Relationship Type="http://schemas.openxmlformats.org/officeDocument/2006/relationships/hyperlink" Target="https://mypatrice.com/modele-excel-tableau-amortissement/?utm_source=modele-credit&amp;utm_medium=fichier&amp;utm_campaign=modele-credit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Modèle de tableau d'amortissement</t>
        </is>
      </c>
      <c r="C2" s="1" t="n"/>
    </row>
    <row r="3" ht="22" customHeight="1">
      <c r="A3" s="1" t="n"/>
      <c r="B3" s="3" t="inlineStr">
        <is>
          <t>par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Votre crédit, échéance par échéance</t>
        </is>
      </c>
    </row>
    <row r="7" ht="52" customHeight="1">
      <c r="B7" s="6" t="inlineStr">
        <is>
          <t>Le montant, le taux, la durée et l'assurance suffisent : le classeur calcule la mensualité, le coût total du crédit et le tableau complet, avec les intérêts, le capital remboursé et le capital restant dû à chaque échéance.</t>
        </is>
      </c>
    </row>
    <row r="8">
      <c r="B8" s="7" t="n"/>
    </row>
    <row r="9" ht="24" customHeight="1">
      <c r="B9" s="5" t="inlineStr">
        <is>
          <t>Mode d'emploi</t>
        </is>
      </c>
    </row>
    <row r="10" ht="36" customHeight="1">
      <c r="B10" s="6" t="inlineStr">
        <is>
          <t>1.  Onglet « Tableau d'amortissement » : remplissez les cinq cellules dorées (montant, taux nominal, durée en années, date de la première échéance, taux d'assurance).</t>
        </is>
      </c>
    </row>
    <row r="11" ht="36" customHeight="1">
      <c r="B11" s="6" t="inlineStr">
        <is>
          <t>2.  La synthèse à droite et l'échéancier en dessous se recalculent aussitôt, jusqu'à trente ans.</t>
        </is>
      </c>
    </row>
    <row r="12" ht="36" customHeight="1">
      <c r="B12" s="6" t="inlineStr">
        <is>
          <t>3.  Onglet « Par année » : les intérêts, le capital et l'assurance payés chaque année, et le capital restant dû au 31 décembre.</t>
        </is>
      </c>
    </row>
    <row r="13" ht="52" customHeight="1">
      <c r="B13" s="6" t="inlineStr">
        <is>
          <t>Le calcul suit un prêt amortissable à mensualités constantes, arrondies au centime ; la dernière échéance solde le capital. Le tableau de votre banque fait foi : différé, taux variable ou remboursement anticipé le font diverger.</t>
        </is>
      </c>
    </row>
    <row r="14" ht="22" customHeight="1">
      <c r="B14" s="8" t="inlineStr">
        <is>
          <t>Les montants déjà saisis sont un exemple : remplacez-les par ceux de votre offre de prêt.</t>
        </is>
      </c>
    </row>
    <row r="15">
      <c r="B15" s="7" t="n"/>
    </row>
    <row r="16" ht="24" customHeight="1">
      <c r="B16" s="5" t="inlineStr">
        <is>
          <t>Le jour où le tableur ne suffit plus</t>
        </is>
      </c>
    </row>
    <row r="17" ht="68" customHeight="1">
      <c r="B17" s="6" t="inlineStr">
        <is>
          <t>Ce fichier s'importe dans Patrice, gratuitement : dans la fiche de votre crédit, « Tableau d'amortissement de la banque » › « Importer le tableau (Excel, CSV) ». Patrice y relit le capital, le taux, la durée et l'assurance, et suit votre capital restant dû mois après mois dans votre patrimoine net.</t>
        </is>
      </c>
    </row>
    <row r="18" ht="20" customHeight="1">
      <c r="B18" s="9" t="inlineStr">
        <is>
          <t>Essayer la démo, sans inscription : https://mypatrice.com</t>
        </is>
      </c>
    </row>
    <row r="19" ht="20" customHeight="1">
      <c r="B19" s="9" t="inlineStr">
        <is>
          <t>Partager ce modèle gratuit : https://mypatrice.com/modele-excel-tableau-amortissement/</t>
        </is>
      </c>
    </row>
    <row r="20">
      <c r="B20" s="7" t="n"/>
    </row>
    <row r="21">
      <c r="B21" s="10" t="inlineStr">
        <is>
          <t>Modèle gratuit et libre d'usage. Il ne constitue pas un conseil financier, fiscal ou juridique. Version d'octobre 2026.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7"/>
  <sheetViews>
    <sheetView showGridLines="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6" customWidth="1" min="3" max="3"/>
    <col width="14" customWidth="1" min="4" max="4"/>
    <col width="22" customWidth="1" min="5" max="5"/>
    <col width="13" customWidth="1" min="6" max="6"/>
    <col width="18" customWidth="1" min="7" max="7"/>
    <col width="18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Mon tableau d'amortissement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Les cellules dorées sont à remplir ; tout le reste se calcule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11" t="inlineStr">
        <is>
          <t>Votre crédit</t>
        </is>
      </c>
      <c r="E6" s="11" t="inlineStr">
        <is>
          <t>Ce que coûte le crédit</t>
        </is>
      </c>
    </row>
    <row r="7" ht="22" customHeight="1">
      <c r="B7" s="12" t="inlineStr">
        <is>
          <t>Montant emprunté</t>
        </is>
      </c>
      <c r="C7" s="13" t="n">
        <v>200000</v>
      </c>
      <c r="E7" s="14" t="inlineStr">
        <is>
          <t>Mensualité hors assurance</t>
        </is>
      </c>
      <c r="F7" s="15" t="n"/>
      <c r="G7" s="16">
        <f>ROUND(PMT($C$8/12,($C$9*12),-$C$7),2)</f>
        <v>1149.67</v>
      </c>
    </row>
    <row r="8" ht="22" customHeight="1">
      <c r="B8" s="12" t="inlineStr">
        <is>
          <t>Taux nominal annuel</t>
        </is>
      </c>
      <c r="C8" s="17" t="n">
        <v>0.034</v>
      </c>
      <c r="E8" s="14" t="inlineStr">
        <is>
          <t>Assurance par mois</t>
        </is>
      </c>
      <c r="F8" s="15" t="n"/>
      <c r="G8" s="16">
        <f>ROUND($C$7*$C$11/12,2)</f>
        <v>50.0</v>
      </c>
    </row>
    <row r="9" ht="22" customHeight="1">
      <c r="B9" s="12" t="inlineStr">
        <is>
          <t>Durée (années)</t>
        </is>
      </c>
      <c r="C9" s="18" t="n">
        <v>20</v>
      </c>
      <c r="E9" s="19" t="inlineStr">
        <is>
          <t>Mensualité assurance comprise</t>
        </is>
      </c>
      <c r="F9" s="15" t="n"/>
      <c r="G9" s="20">
        <f>G7+G8</f>
        <v>1199.67</v>
      </c>
    </row>
    <row r="10" ht="22" customHeight="1">
      <c r="B10" s="12" t="inlineStr">
        <is>
          <t>Date de la 1re échéance</t>
        </is>
      </c>
      <c r="C10" s="21" t="n">
        <v>46361</v>
      </c>
      <c r="E10" s="14" t="inlineStr">
        <is>
          <t>Coût des intérêts</t>
        </is>
      </c>
      <c r="F10" s="15" t="n"/>
      <c r="G10" s="22">
        <f>SUM('Tableau d''amortissement'!$D$18:$D$377)</f>
        <v>75920.34</v>
      </c>
    </row>
    <row r="11" ht="22" customHeight="1">
      <c r="B11" s="12" t="inlineStr">
        <is>
          <t>Assurance (taux annuel)</t>
        </is>
      </c>
      <c r="C11" s="17" t="n">
        <v>0.003</v>
      </c>
      <c r="E11" s="14" t="inlineStr">
        <is>
          <t>Coût de l'assurance</t>
        </is>
      </c>
      <c r="F11" s="15" t="n"/>
      <c r="G11" s="22">
        <f>SUM('Tableau d''amortissement'!$F$18:$F$377)</f>
        <v>12000.0</v>
      </c>
    </row>
    <row r="12">
      <c r="B12" s="23" t="inlineStr">
        <is>
          <t>sur le capital emprunté, comme la plupart des contrats de groupe</t>
        </is>
      </c>
      <c r="E12" s="19" t="inlineStr">
        <is>
          <t>Coût total du crédit</t>
        </is>
      </c>
      <c r="F12" s="15" t="n"/>
      <c r="G12" s="24">
        <f>G10+G11</f>
        <v>87920.34</v>
      </c>
    </row>
    <row r="13">
      <c r="E13" s="14" t="inlineStr">
        <is>
          <t>Dernière échéance</t>
        </is>
      </c>
      <c r="F13" s="15" t="n"/>
      <c r="G13" s="25">
        <f>EDATE($C$10,($C$9*12)-1)</f>
        <v>53636</v>
      </c>
    </row>
    <row r="14">
      <c r="E14" s="14" t="inlineStr">
        <is>
          <t>Capital restant dû aujourd'hui</t>
        </is>
      </c>
      <c r="F14" s="15" t="n"/>
      <c r="G14" s="22">
        <f>IF(TODAY()&lt;$C$10,$C$7,IF(TODAY()&gt;=G13,0,INDEX('Tableau d''amortissement'!$G$18:$G$377,(YEAR(TODAY())-YEAR($C$10))*12+MONTH(TODAY())-MONTH($C$10)+IF(DAY(TODAY())&gt;=DAY($C$10),1,0))))</f>
        <v>200000</v>
      </c>
    </row>
    <row r="15">
      <c r="B15" s="11" t="inlineStr">
        <is>
          <t>Échéance par échéance</t>
        </is>
      </c>
    </row>
    <row r="17" ht="30" customHeight="1">
      <c r="A17" s="26" t="inlineStr">
        <is>
          <t>N°</t>
        </is>
      </c>
      <c r="B17" s="26" t="inlineStr">
        <is>
          <t>Date</t>
        </is>
      </c>
      <c r="C17" s="26" t="inlineStr">
        <is>
          <t>Échéance</t>
        </is>
      </c>
      <c r="D17" s="26" t="inlineStr">
        <is>
          <t>Intérêts</t>
        </is>
      </c>
      <c r="E17" s="26" t="inlineStr">
        <is>
          <t>Capital remboursé</t>
        </is>
      </c>
      <c r="F17" s="26" t="inlineStr">
        <is>
          <t>Assurance</t>
        </is>
      </c>
      <c r="G17" s="26" t="inlineStr">
        <is>
          <t>Capital restant dû</t>
        </is>
      </c>
    </row>
    <row r="18">
      <c r="A18" s="27">
        <f>IF(1&lt;=($C$9*12),1,"")</f>
        <v>1</v>
      </c>
      <c r="B18" s="28">
        <f>IF(A18="","",EDATE($C$10,A18-1))</f>
        <v>46361</v>
      </c>
      <c r="C18" s="29">
        <f>IF(A18="","",D18+E18+F18)</f>
        <v>1199.67</v>
      </c>
      <c r="D18" s="30">
        <f>IF(A18="","",ROUND($C$7*$C$8/12,2))</f>
        <v>566.67</v>
      </c>
      <c r="E18" s="30">
        <f>IF(A18="","",IF(A18=($C$9*12),$C$7,$G$7-D18))</f>
        <v>583.0</v>
      </c>
      <c r="F18" s="30">
        <f>IF(A18="","",$G$8)</f>
        <v>50.0</v>
      </c>
      <c r="G18" s="30">
        <f>IF(A18="","",$C$7-E18)</f>
        <v>199417.0</v>
      </c>
    </row>
    <row r="19">
      <c r="A19" s="27">
        <f>IF(2&lt;=($C$9*12),2,"")</f>
        <v>2</v>
      </c>
      <c r="B19" s="28">
        <f>IF(A19="","",EDATE($C$10,A19-1))</f>
        <v>46392</v>
      </c>
      <c r="C19" s="29">
        <f>IF(A19="","",D19+E19+F19)</f>
        <v>1199.67</v>
      </c>
      <c r="D19" s="30">
        <f>IF(A19="","",ROUND(G18*$C$8/12,2))</f>
        <v>565.01</v>
      </c>
      <c r="E19" s="30">
        <f>IF(A19="","",IF(A19=($C$9*12),G18,$G$7-D19))</f>
        <v>584.66</v>
      </c>
      <c r="F19" s="30">
        <f>IF(A19="","",$G$8)</f>
        <v>50.0</v>
      </c>
      <c r="G19" s="30">
        <f>IF(A19="","",G18-E19)</f>
        <v>198832.34</v>
      </c>
    </row>
    <row r="20">
      <c r="A20" s="27">
        <f>IF(3&lt;=($C$9*12),3,"")</f>
        <v>3</v>
      </c>
      <c r="B20" s="28">
        <f>IF(A20="","",EDATE($C$10,A20-1))</f>
        <v>46423</v>
      </c>
      <c r="C20" s="29">
        <f>IF(A20="","",D20+E20+F20)</f>
        <v>1199.67</v>
      </c>
      <c r="D20" s="30">
        <f>IF(A20="","",ROUND(G19*$C$8/12,2))</f>
        <v>563.36</v>
      </c>
      <c r="E20" s="30">
        <f>IF(A20="","",IF(A20=($C$9*12),G19,$G$7-D20))</f>
        <v>586.31</v>
      </c>
      <c r="F20" s="30">
        <f>IF(A20="","",$G$8)</f>
        <v>50.0</v>
      </c>
      <c r="G20" s="30">
        <f>IF(A20="","",G19-E20)</f>
        <v>198246.03</v>
      </c>
    </row>
    <row r="21">
      <c r="A21" s="27">
        <f>IF(4&lt;=($C$9*12),4,"")</f>
        <v>4</v>
      </c>
      <c r="B21" s="28">
        <f>IF(A21="","",EDATE($C$10,A21-1))</f>
        <v>46451</v>
      </c>
      <c r="C21" s="29">
        <f>IF(A21="","",D21+E21+F21)</f>
        <v>1199.67</v>
      </c>
      <c r="D21" s="30">
        <f>IF(A21="","",ROUND(G20*$C$8/12,2))</f>
        <v>561.7</v>
      </c>
      <c r="E21" s="30">
        <f>IF(A21="","",IF(A21=($C$9*12),G20,$G$7-D21))</f>
        <v>587.97</v>
      </c>
      <c r="F21" s="30">
        <f>IF(A21="","",$G$8)</f>
        <v>50.0</v>
      </c>
      <c r="G21" s="30">
        <f>IF(A21="","",G20-E21)</f>
        <v>197658.06</v>
      </c>
    </row>
    <row r="22">
      <c r="A22" s="27">
        <f>IF(5&lt;=($C$9*12),5,"")</f>
        <v>5</v>
      </c>
      <c r="B22" s="28">
        <f>IF(A22="","",EDATE($C$10,A22-1))</f>
        <v>46482</v>
      </c>
      <c r="C22" s="29">
        <f>IF(A22="","",D22+E22+F22)</f>
        <v>1199.67</v>
      </c>
      <c r="D22" s="30">
        <f>IF(A22="","",ROUND(G21*$C$8/12,2))</f>
        <v>560.03</v>
      </c>
      <c r="E22" s="30">
        <f>IF(A22="","",IF(A22=($C$9*12),G21,$G$7-D22))</f>
        <v>589.64</v>
      </c>
      <c r="F22" s="30">
        <f>IF(A22="","",$G$8)</f>
        <v>50.0</v>
      </c>
      <c r="G22" s="30">
        <f>IF(A22="","",G21-E22)</f>
        <v>197068.42</v>
      </c>
    </row>
    <row r="23">
      <c r="A23" s="27">
        <f>IF(6&lt;=($C$9*12),6,"")</f>
        <v>6</v>
      </c>
      <c r="B23" s="28">
        <f>IF(A23="","",EDATE($C$10,A23-1))</f>
        <v>46512</v>
      </c>
      <c r="C23" s="29">
        <f>IF(A23="","",D23+E23+F23)</f>
        <v>1199.67</v>
      </c>
      <c r="D23" s="30">
        <f>IF(A23="","",ROUND(G22*$C$8/12,2))</f>
        <v>558.36</v>
      </c>
      <c r="E23" s="30">
        <f>IF(A23="","",IF(A23=($C$9*12),G22,$G$7-D23))</f>
        <v>591.31</v>
      </c>
      <c r="F23" s="30">
        <f>IF(A23="","",$G$8)</f>
        <v>50.0</v>
      </c>
      <c r="G23" s="30">
        <f>IF(A23="","",G22-E23)</f>
        <v>196477.11</v>
      </c>
    </row>
    <row r="24">
      <c r="A24" s="27">
        <f>IF(7&lt;=($C$9*12),7,"")</f>
        <v>7</v>
      </c>
      <c r="B24" s="28">
        <f>IF(A24="","",EDATE($C$10,A24-1))</f>
        <v>46543</v>
      </c>
      <c r="C24" s="29">
        <f>IF(A24="","",D24+E24+F24)</f>
        <v>1199.67</v>
      </c>
      <c r="D24" s="30">
        <f>IF(A24="","",ROUND(G23*$C$8/12,2))</f>
        <v>556.69</v>
      </c>
      <c r="E24" s="30">
        <f>IF(A24="","",IF(A24=($C$9*12),G23,$G$7-D24))</f>
        <v>592.98</v>
      </c>
      <c r="F24" s="30">
        <f>IF(A24="","",$G$8)</f>
        <v>50.0</v>
      </c>
      <c r="G24" s="30">
        <f>IF(A24="","",G23-E24)</f>
        <v>195884.13</v>
      </c>
    </row>
    <row r="25">
      <c r="A25" s="27">
        <f>IF(8&lt;=($C$9*12),8,"")</f>
        <v>8</v>
      </c>
      <c r="B25" s="28">
        <f>IF(A25="","",EDATE($C$10,A25-1))</f>
        <v>46573</v>
      </c>
      <c r="C25" s="29">
        <f>IF(A25="","",D25+E25+F25)</f>
        <v>1199.67</v>
      </c>
      <c r="D25" s="30">
        <f>IF(A25="","",ROUND(G24*$C$8/12,2))</f>
        <v>555.01</v>
      </c>
      <c r="E25" s="30">
        <f>IF(A25="","",IF(A25=($C$9*12),G24,$G$7-D25))</f>
        <v>594.66</v>
      </c>
      <c r="F25" s="30">
        <f>IF(A25="","",$G$8)</f>
        <v>50.0</v>
      </c>
      <c r="G25" s="30">
        <f>IF(A25="","",G24-E25)</f>
        <v>195289.47</v>
      </c>
    </row>
    <row r="26">
      <c r="A26" s="27">
        <f>IF(9&lt;=($C$9*12),9,"")</f>
        <v>9</v>
      </c>
      <c r="B26" s="28">
        <f>IF(A26="","",EDATE($C$10,A26-1))</f>
        <v>46604</v>
      </c>
      <c r="C26" s="29">
        <f>IF(A26="","",D26+E26+F26)</f>
        <v>1199.67</v>
      </c>
      <c r="D26" s="30">
        <f>IF(A26="","",ROUND(G25*$C$8/12,2))</f>
        <v>553.32</v>
      </c>
      <c r="E26" s="30">
        <f>IF(A26="","",IF(A26=($C$9*12),G25,$G$7-D26))</f>
        <v>596.35</v>
      </c>
      <c r="F26" s="30">
        <f>IF(A26="","",$G$8)</f>
        <v>50.0</v>
      </c>
      <c r="G26" s="30">
        <f>IF(A26="","",G25-E26)</f>
        <v>194693.12</v>
      </c>
    </row>
    <row r="27">
      <c r="A27" s="27">
        <f>IF(10&lt;=($C$9*12),10,"")</f>
        <v>10</v>
      </c>
      <c r="B27" s="28">
        <f>IF(A27="","",EDATE($C$10,A27-1))</f>
        <v>46635</v>
      </c>
      <c r="C27" s="29">
        <f>IF(A27="","",D27+E27+F27)</f>
        <v>1199.67</v>
      </c>
      <c r="D27" s="30">
        <f>IF(A27="","",ROUND(G26*$C$8/12,2))</f>
        <v>551.63</v>
      </c>
      <c r="E27" s="30">
        <f>IF(A27="","",IF(A27=($C$9*12),G26,$G$7-D27))</f>
        <v>598.04</v>
      </c>
      <c r="F27" s="30">
        <f>IF(A27="","",$G$8)</f>
        <v>50.0</v>
      </c>
      <c r="G27" s="30">
        <f>IF(A27="","",G26-E27)</f>
        <v>194095.08</v>
      </c>
    </row>
    <row r="28">
      <c r="A28" s="27">
        <f>IF(11&lt;=($C$9*12),11,"")</f>
        <v>11</v>
      </c>
      <c r="B28" s="28">
        <f>IF(A28="","",EDATE($C$10,A28-1))</f>
        <v>46665</v>
      </c>
      <c r="C28" s="29">
        <f>IF(A28="","",D28+E28+F28)</f>
        <v>1199.67</v>
      </c>
      <c r="D28" s="30">
        <f>IF(A28="","",ROUND(G27*$C$8/12,2))</f>
        <v>549.94</v>
      </c>
      <c r="E28" s="30">
        <f>IF(A28="","",IF(A28=($C$9*12),G27,$G$7-D28))</f>
        <v>599.73</v>
      </c>
      <c r="F28" s="30">
        <f>IF(A28="","",$G$8)</f>
        <v>50.0</v>
      </c>
      <c r="G28" s="30">
        <f>IF(A28="","",G27-E28)</f>
        <v>193495.35</v>
      </c>
    </row>
    <row r="29">
      <c r="A29" s="31">
        <f>IF(12&lt;=($C$9*12),12,"")</f>
        <v>12</v>
      </c>
      <c r="B29" s="32">
        <f>IF(A29="","",EDATE($C$10,A29-1))</f>
        <v>46696</v>
      </c>
      <c r="C29" s="33">
        <f>IF(A29="","",D29+E29+F29)</f>
        <v>1199.67</v>
      </c>
      <c r="D29" s="34">
        <f>IF(A29="","",ROUND(G28*$C$8/12,2))</f>
        <v>548.24</v>
      </c>
      <c r="E29" s="34">
        <f>IF(A29="","",IF(A29=($C$9*12),G28,$G$7-D29))</f>
        <v>601.43</v>
      </c>
      <c r="F29" s="34">
        <f>IF(A29="","",$G$8)</f>
        <v>50.0</v>
      </c>
      <c r="G29" s="34">
        <f>IF(A29="","",G28-E29)</f>
        <v>192893.92</v>
      </c>
    </row>
    <row r="30">
      <c r="A30" s="27">
        <f>IF(13&lt;=($C$9*12),13,"")</f>
        <v>13</v>
      </c>
      <c r="B30" s="28">
        <f>IF(A30="","",EDATE($C$10,A30-1))</f>
        <v>46726</v>
      </c>
      <c r="C30" s="29">
        <f>IF(A30="","",D30+E30+F30)</f>
        <v>1199.67</v>
      </c>
      <c r="D30" s="30">
        <f>IF(A30="","",ROUND(G29*$C$8/12,2))</f>
        <v>546.53</v>
      </c>
      <c r="E30" s="30">
        <f>IF(A30="","",IF(A30=($C$9*12),G29,$G$7-D30))</f>
        <v>603.14</v>
      </c>
      <c r="F30" s="30">
        <f>IF(A30="","",$G$8)</f>
        <v>50.0</v>
      </c>
      <c r="G30" s="30">
        <f>IF(A30="","",G29-E30)</f>
        <v>192290.78</v>
      </c>
    </row>
    <row r="31">
      <c r="A31" s="27">
        <f>IF(14&lt;=($C$9*12),14,"")</f>
        <v>14</v>
      </c>
      <c r="B31" s="28">
        <f>IF(A31="","",EDATE($C$10,A31-1))</f>
        <v>46757</v>
      </c>
      <c r="C31" s="29">
        <f>IF(A31="","",D31+E31+F31)</f>
        <v>1199.67</v>
      </c>
      <c r="D31" s="30">
        <f>IF(A31="","",ROUND(G30*$C$8/12,2))</f>
        <v>544.82</v>
      </c>
      <c r="E31" s="30">
        <f>IF(A31="","",IF(A31=($C$9*12),G30,$G$7-D31))</f>
        <v>604.85</v>
      </c>
      <c r="F31" s="30">
        <f>IF(A31="","",$G$8)</f>
        <v>50.0</v>
      </c>
      <c r="G31" s="30">
        <f>IF(A31="","",G30-E31)</f>
        <v>191685.93</v>
      </c>
    </row>
    <row r="32">
      <c r="A32" s="27">
        <f>IF(15&lt;=($C$9*12),15,"")</f>
        <v>15</v>
      </c>
      <c r="B32" s="28">
        <f>IF(A32="","",EDATE($C$10,A32-1))</f>
        <v>46788</v>
      </c>
      <c r="C32" s="29">
        <f>IF(A32="","",D32+E32+F32)</f>
        <v>1199.67</v>
      </c>
      <c r="D32" s="30">
        <f>IF(A32="","",ROUND(G31*$C$8/12,2))</f>
        <v>543.11</v>
      </c>
      <c r="E32" s="30">
        <f>IF(A32="","",IF(A32=($C$9*12),G31,$G$7-D32))</f>
        <v>606.56</v>
      </c>
      <c r="F32" s="30">
        <f>IF(A32="","",$G$8)</f>
        <v>50.0</v>
      </c>
      <c r="G32" s="30">
        <f>IF(A32="","",G31-E32)</f>
        <v>191079.37</v>
      </c>
    </row>
    <row r="33">
      <c r="A33" s="27">
        <f>IF(16&lt;=($C$9*12),16,"")</f>
        <v>16</v>
      </c>
      <c r="B33" s="28">
        <f>IF(A33="","",EDATE($C$10,A33-1))</f>
        <v>46817</v>
      </c>
      <c r="C33" s="29">
        <f>IF(A33="","",D33+E33+F33)</f>
        <v>1199.67</v>
      </c>
      <c r="D33" s="30">
        <f>IF(A33="","",ROUND(G32*$C$8/12,2))</f>
        <v>541.39</v>
      </c>
      <c r="E33" s="30">
        <f>IF(A33="","",IF(A33=($C$9*12),G32,$G$7-D33))</f>
        <v>608.28</v>
      </c>
      <c r="F33" s="30">
        <f>IF(A33="","",$G$8)</f>
        <v>50.0</v>
      </c>
      <c r="G33" s="30">
        <f>IF(A33="","",G32-E33)</f>
        <v>190471.09</v>
      </c>
    </row>
    <row r="34">
      <c r="A34" s="27">
        <f>IF(17&lt;=($C$9*12),17,"")</f>
        <v>17</v>
      </c>
      <c r="B34" s="28">
        <f>IF(A34="","",EDATE($C$10,A34-1))</f>
        <v>46848</v>
      </c>
      <c r="C34" s="29">
        <f>IF(A34="","",D34+E34+F34)</f>
        <v>1199.67</v>
      </c>
      <c r="D34" s="30">
        <f>IF(A34="","",ROUND(G33*$C$8/12,2))</f>
        <v>539.67</v>
      </c>
      <c r="E34" s="30">
        <f>IF(A34="","",IF(A34=($C$9*12),G33,$G$7-D34))</f>
        <v>610.0</v>
      </c>
      <c r="F34" s="30">
        <f>IF(A34="","",$G$8)</f>
        <v>50.0</v>
      </c>
      <c r="G34" s="30">
        <f>IF(A34="","",G33-E34)</f>
        <v>189861.09</v>
      </c>
    </row>
    <row r="35">
      <c r="A35" s="27">
        <f>IF(18&lt;=($C$9*12),18,"")</f>
        <v>18</v>
      </c>
      <c r="B35" s="28">
        <f>IF(A35="","",EDATE($C$10,A35-1))</f>
        <v>46878</v>
      </c>
      <c r="C35" s="29">
        <f>IF(A35="","",D35+E35+F35)</f>
        <v>1199.67</v>
      </c>
      <c r="D35" s="30">
        <f>IF(A35="","",ROUND(G34*$C$8/12,2))</f>
        <v>537.94</v>
      </c>
      <c r="E35" s="30">
        <f>IF(A35="","",IF(A35=($C$9*12),G34,$G$7-D35))</f>
        <v>611.73</v>
      </c>
      <c r="F35" s="30">
        <f>IF(A35="","",$G$8)</f>
        <v>50.0</v>
      </c>
      <c r="G35" s="30">
        <f>IF(A35="","",G34-E35)</f>
        <v>189249.36</v>
      </c>
    </row>
    <row r="36">
      <c r="A36" s="27">
        <f>IF(19&lt;=($C$9*12),19,"")</f>
        <v>19</v>
      </c>
      <c r="B36" s="28">
        <f>IF(A36="","",EDATE($C$10,A36-1))</f>
        <v>46909</v>
      </c>
      <c r="C36" s="29">
        <f>IF(A36="","",D36+E36+F36)</f>
        <v>1199.67</v>
      </c>
      <c r="D36" s="30">
        <f>IF(A36="","",ROUND(G35*$C$8/12,2))</f>
        <v>536.21</v>
      </c>
      <c r="E36" s="30">
        <f>IF(A36="","",IF(A36=($C$9*12),G35,$G$7-D36))</f>
        <v>613.46</v>
      </c>
      <c r="F36" s="30">
        <f>IF(A36="","",$G$8)</f>
        <v>50.0</v>
      </c>
      <c r="G36" s="30">
        <f>IF(A36="","",G35-E36)</f>
        <v>188635.9</v>
      </c>
    </row>
    <row r="37">
      <c r="A37" s="27">
        <f>IF(20&lt;=($C$9*12),20,"")</f>
        <v>20</v>
      </c>
      <c r="B37" s="28">
        <f>IF(A37="","",EDATE($C$10,A37-1))</f>
        <v>46939</v>
      </c>
      <c r="C37" s="29">
        <f>IF(A37="","",D37+E37+F37)</f>
        <v>1199.67</v>
      </c>
      <c r="D37" s="30">
        <f>IF(A37="","",ROUND(G36*$C$8/12,2))</f>
        <v>534.47</v>
      </c>
      <c r="E37" s="30">
        <f>IF(A37="","",IF(A37=($C$9*12),G36,$G$7-D37))</f>
        <v>615.2</v>
      </c>
      <c r="F37" s="30">
        <f>IF(A37="","",$G$8)</f>
        <v>50.0</v>
      </c>
      <c r="G37" s="30">
        <f>IF(A37="","",G36-E37)</f>
        <v>188020.7</v>
      </c>
    </row>
    <row r="38">
      <c r="A38" s="27">
        <f>IF(21&lt;=($C$9*12),21,"")</f>
        <v>21</v>
      </c>
      <c r="B38" s="28">
        <f>IF(A38="","",EDATE($C$10,A38-1))</f>
        <v>46970</v>
      </c>
      <c r="C38" s="29">
        <f>IF(A38="","",D38+E38+F38)</f>
        <v>1199.67</v>
      </c>
      <c r="D38" s="30">
        <f>IF(A38="","",ROUND(G37*$C$8/12,2))</f>
        <v>532.73</v>
      </c>
      <c r="E38" s="30">
        <f>IF(A38="","",IF(A38=($C$9*12),G37,$G$7-D38))</f>
        <v>616.94</v>
      </c>
      <c r="F38" s="30">
        <f>IF(A38="","",$G$8)</f>
        <v>50.0</v>
      </c>
      <c r="G38" s="30">
        <f>IF(A38="","",G37-E38)</f>
        <v>187403.76</v>
      </c>
    </row>
    <row r="39">
      <c r="A39" s="27">
        <f>IF(22&lt;=($C$9*12),22,"")</f>
        <v>22</v>
      </c>
      <c r="B39" s="28">
        <f>IF(A39="","",EDATE($C$10,A39-1))</f>
        <v>47001</v>
      </c>
      <c r="C39" s="29">
        <f>IF(A39="","",D39+E39+F39)</f>
        <v>1199.67</v>
      </c>
      <c r="D39" s="30">
        <f>IF(A39="","",ROUND(G38*$C$8/12,2))</f>
        <v>530.98</v>
      </c>
      <c r="E39" s="30">
        <f>IF(A39="","",IF(A39=($C$9*12),G38,$G$7-D39))</f>
        <v>618.69</v>
      </c>
      <c r="F39" s="30">
        <f>IF(A39="","",$G$8)</f>
        <v>50.0</v>
      </c>
      <c r="G39" s="30">
        <f>IF(A39="","",G38-E39)</f>
        <v>186785.07</v>
      </c>
    </row>
    <row r="40">
      <c r="A40" s="27">
        <f>IF(23&lt;=($C$9*12),23,"")</f>
        <v>23</v>
      </c>
      <c r="B40" s="28">
        <f>IF(A40="","",EDATE($C$10,A40-1))</f>
        <v>47031</v>
      </c>
      <c r="C40" s="29">
        <f>IF(A40="","",D40+E40+F40)</f>
        <v>1199.67</v>
      </c>
      <c r="D40" s="30">
        <f>IF(A40="","",ROUND(G39*$C$8/12,2))</f>
        <v>529.22</v>
      </c>
      <c r="E40" s="30">
        <f>IF(A40="","",IF(A40=($C$9*12),G39,$G$7-D40))</f>
        <v>620.45</v>
      </c>
      <c r="F40" s="30">
        <f>IF(A40="","",$G$8)</f>
        <v>50.0</v>
      </c>
      <c r="G40" s="30">
        <f>IF(A40="","",G39-E40)</f>
        <v>186164.62</v>
      </c>
    </row>
    <row r="41">
      <c r="A41" s="31">
        <f>IF(24&lt;=($C$9*12),24,"")</f>
        <v>24</v>
      </c>
      <c r="B41" s="32">
        <f>IF(A41="","",EDATE($C$10,A41-1))</f>
        <v>47062</v>
      </c>
      <c r="C41" s="33">
        <f>IF(A41="","",D41+E41+F41)</f>
        <v>1199.67</v>
      </c>
      <c r="D41" s="34">
        <f>IF(A41="","",ROUND(G40*$C$8/12,2))</f>
        <v>527.47</v>
      </c>
      <c r="E41" s="34">
        <f>IF(A41="","",IF(A41=($C$9*12),G40,$G$7-D41))</f>
        <v>622.2</v>
      </c>
      <c r="F41" s="34">
        <f>IF(A41="","",$G$8)</f>
        <v>50.0</v>
      </c>
      <c r="G41" s="34">
        <f>IF(A41="","",G40-E41)</f>
        <v>185542.42</v>
      </c>
    </row>
    <row r="42">
      <c r="A42" s="27">
        <f>IF(25&lt;=($C$9*12),25,"")</f>
        <v>25</v>
      </c>
      <c r="B42" s="28">
        <f>IF(A42="","",EDATE($C$10,A42-1))</f>
        <v>47092</v>
      </c>
      <c r="C42" s="29">
        <f>IF(A42="","",D42+E42+F42)</f>
        <v>1199.67</v>
      </c>
      <c r="D42" s="30">
        <f>IF(A42="","",ROUND(G41*$C$8/12,2))</f>
        <v>525.7</v>
      </c>
      <c r="E42" s="30">
        <f>IF(A42="","",IF(A42=($C$9*12),G41,$G$7-D42))</f>
        <v>623.97</v>
      </c>
      <c r="F42" s="30">
        <f>IF(A42="","",$G$8)</f>
        <v>50.0</v>
      </c>
      <c r="G42" s="30">
        <f>IF(A42="","",G41-E42)</f>
        <v>184918.45</v>
      </c>
    </row>
    <row r="43">
      <c r="A43" s="27">
        <f>IF(26&lt;=($C$9*12),26,"")</f>
        <v>26</v>
      </c>
      <c r="B43" s="28">
        <f>IF(A43="","",EDATE($C$10,A43-1))</f>
        <v>47123</v>
      </c>
      <c r="C43" s="29">
        <f>IF(A43="","",D43+E43+F43)</f>
        <v>1199.67</v>
      </c>
      <c r="D43" s="30">
        <f>IF(A43="","",ROUND(G42*$C$8/12,2))</f>
        <v>523.94</v>
      </c>
      <c r="E43" s="30">
        <f>IF(A43="","",IF(A43=($C$9*12),G42,$G$7-D43))</f>
        <v>625.73</v>
      </c>
      <c r="F43" s="30">
        <f>IF(A43="","",$G$8)</f>
        <v>50.0</v>
      </c>
      <c r="G43" s="30">
        <f>IF(A43="","",G42-E43)</f>
        <v>184292.72</v>
      </c>
    </row>
    <row r="44">
      <c r="A44" s="27">
        <f>IF(27&lt;=($C$9*12),27,"")</f>
        <v>27</v>
      </c>
      <c r="B44" s="28">
        <f>IF(A44="","",EDATE($C$10,A44-1))</f>
        <v>47154</v>
      </c>
      <c r="C44" s="29">
        <f>IF(A44="","",D44+E44+F44)</f>
        <v>1199.67</v>
      </c>
      <c r="D44" s="30">
        <f>IF(A44="","",ROUND(G43*$C$8/12,2))</f>
        <v>522.16</v>
      </c>
      <c r="E44" s="30">
        <f>IF(A44="","",IF(A44=($C$9*12),G43,$G$7-D44))</f>
        <v>627.51</v>
      </c>
      <c r="F44" s="30">
        <f>IF(A44="","",$G$8)</f>
        <v>50.0</v>
      </c>
      <c r="G44" s="30">
        <f>IF(A44="","",G43-E44)</f>
        <v>183665.21</v>
      </c>
    </row>
    <row r="45">
      <c r="A45" s="27">
        <f>IF(28&lt;=($C$9*12),28,"")</f>
        <v>28</v>
      </c>
      <c r="B45" s="28">
        <f>IF(A45="","",EDATE($C$10,A45-1))</f>
        <v>47182</v>
      </c>
      <c r="C45" s="29">
        <f>IF(A45="","",D45+E45+F45)</f>
        <v>1199.67</v>
      </c>
      <c r="D45" s="30">
        <f>IF(A45="","",ROUND(G44*$C$8/12,2))</f>
        <v>520.38</v>
      </c>
      <c r="E45" s="30">
        <f>IF(A45="","",IF(A45=($C$9*12),G44,$G$7-D45))</f>
        <v>629.29</v>
      </c>
      <c r="F45" s="30">
        <f>IF(A45="","",$G$8)</f>
        <v>50.0</v>
      </c>
      <c r="G45" s="30">
        <f>IF(A45="","",G44-E45)</f>
        <v>183035.92</v>
      </c>
    </row>
    <row r="46">
      <c r="A46" s="27">
        <f>IF(29&lt;=($C$9*12),29,"")</f>
        <v>29</v>
      </c>
      <c r="B46" s="28">
        <f>IF(A46="","",EDATE($C$10,A46-1))</f>
        <v>47213</v>
      </c>
      <c r="C46" s="29">
        <f>IF(A46="","",D46+E46+F46)</f>
        <v>1199.67</v>
      </c>
      <c r="D46" s="30">
        <f>IF(A46="","",ROUND(G45*$C$8/12,2))</f>
        <v>518.6</v>
      </c>
      <c r="E46" s="30">
        <f>IF(A46="","",IF(A46=($C$9*12),G45,$G$7-D46))</f>
        <v>631.07</v>
      </c>
      <c r="F46" s="30">
        <f>IF(A46="","",$G$8)</f>
        <v>50.0</v>
      </c>
      <c r="G46" s="30">
        <f>IF(A46="","",G45-E46)</f>
        <v>182404.85</v>
      </c>
    </row>
    <row r="47">
      <c r="A47" s="27">
        <f>IF(30&lt;=($C$9*12),30,"")</f>
        <v>30</v>
      </c>
      <c r="B47" s="28">
        <f>IF(A47="","",EDATE($C$10,A47-1))</f>
        <v>47243</v>
      </c>
      <c r="C47" s="29">
        <f>IF(A47="","",D47+E47+F47)</f>
        <v>1199.67</v>
      </c>
      <c r="D47" s="30">
        <f>IF(A47="","",ROUND(G46*$C$8/12,2))</f>
        <v>516.81</v>
      </c>
      <c r="E47" s="30">
        <f>IF(A47="","",IF(A47=($C$9*12),G46,$G$7-D47))</f>
        <v>632.86</v>
      </c>
      <c r="F47" s="30">
        <f>IF(A47="","",$G$8)</f>
        <v>50.0</v>
      </c>
      <c r="G47" s="30">
        <f>IF(A47="","",G46-E47)</f>
        <v>181771.99</v>
      </c>
    </row>
    <row r="48">
      <c r="A48" s="27">
        <f>IF(31&lt;=($C$9*12),31,"")</f>
        <v>31</v>
      </c>
      <c r="B48" s="28">
        <f>IF(A48="","",EDATE($C$10,A48-1))</f>
        <v>47274</v>
      </c>
      <c r="C48" s="29">
        <f>IF(A48="","",D48+E48+F48)</f>
        <v>1199.67</v>
      </c>
      <c r="D48" s="30">
        <f>IF(A48="","",ROUND(G47*$C$8/12,2))</f>
        <v>515.02</v>
      </c>
      <c r="E48" s="30">
        <f>IF(A48="","",IF(A48=($C$9*12),G47,$G$7-D48))</f>
        <v>634.65</v>
      </c>
      <c r="F48" s="30">
        <f>IF(A48="","",$G$8)</f>
        <v>50.0</v>
      </c>
      <c r="G48" s="30">
        <f>IF(A48="","",G47-E48)</f>
        <v>181137.34</v>
      </c>
    </row>
    <row r="49">
      <c r="A49" s="27">
        <f>IF(32&lt;=($C$9*12),32,"")</f>
        <v>32</v>
      </c>
      <c r="B49" s="28">
        <f>IF(A49="","",EDATE($C$10,A49-1))</f>
        <v>47304</v>
      </c>
      <c r="C49" s="29">
        <f>IF(A49="","",D49+E49+F49)</f>
        <v>1199.67</v>
      </c>
      <c r="D49" s="30">
        <f>IF(A49="","",ROUND(G48*$C$8/12,2))</f>
        <v>513.22</v>
      </c>
      <c r="E49" s="30">
        <f>IF(A49="","",IF(A49=($C$9*12),G48,$G$7-D49))</f>
        <v>636.45</v>
      </c>
      <c r="F49" s="30">
        <f>IF(A49="","",$G$8)</f>
        <v>50.0</v>
      </c>
      <c r="G49" s="30">
        <f>IF(A49="","",G48-E49)</f>
        <v>180500.89</v>
      </c>
    </row>
    <row r="50">
      <c r="A50" s="27">
        <f>IF(33&lt;=($C$9*12),33,"")</f>
        <v>33</v>
      </c>
      <c r="B50" s="28">
        <f>IF(A50="","",EDATE($C$10,A50-1))</f>
        <v>47335</v>
      </c>
      <c r="C50" s="29">
        <f>IF(A50="","",D50+E50+F50)</f>
        <v>1199.67</v>
      </c>
      <c r="D50" s="30">
        <f>IF(A50="","",ROUND(G49*$C$8/12,2))</f>
        <v>511.42</v>
      </c>
      <c r="E50" s="30">
        <f>IF(A50="","",IF(A50=($C$9*12),G49,$G$7-D50))</f>
        <v>638.25</v>
      </c>
      <c r="F50" s="30">
        <f>IF(A50="","",$G$8)</f>
        <v>50.0</v>
      </c>
      <c r="G50" s="30">
        <f>IF(A50="","",G49-E50)</f>
        <v>179862.64</v>
      </c>
    </row>
    <row r="51">
      <c r="A51" s="27">
        <f>IF(34&lt;=($C$9*12),34,"")</f>
        <v>34</v>
      </c>
      <c r="B51" s="28">
        <f>IF(A51="","",EDATE($C$10,A51-1))</f>
        <v>47366</v>
      </c>
      <c r="C51" s="29">
        <f>IF(A51="","",D51+E51+F51)</f>
        <v>1199.67</v>
      </c>
      <c r="D51" s="30">
        <f>IF(A51="","",ROUND(G50*$C$8/12,2))</f>
        <v>509.61</v>
      </c>
      <c r="E51" s="30">
        <f>IF(A51="","",IF(A51=($C$9*12),G50,$G$7-D51))</f>
        <v>640.06</v>
      </c>
      <c r="F51" s="30">
        <f>IF(A51="","",$G$8)</f>
        <v>50.0</v>
      </c>
      <c r="G51" s="30">
        <f>IF(A51="","",G50-E51)</f>
        <v>179222.58</v>
      </c>
    </row>
    <row r="52">
      <c r="A52" s="27">
        <f>IF(35&lt;=($C$9*12),35,"")</f>
        <v>35</v>
      </c>
      <c r="B52" s="28">
        <f>IF(A52="","",EDATE($C$10,A52-1))</f>
        <v>47396</v>
      </c>
      <c r="C52" s="29">
        <f>IF(A52="","",D52+E52+F52)</f>
        <v>1199.67</v>
      </c>
      <c r="D52" s="30">
        <f>IF(A52="","",ROUND(G51*$C$8/12,2))</f>
        <v>507.8</v>
      </c>
      <c r="E52" s="30">
        <f>IF(A52="","",IF(A52=($C$9*12),G51,$G$7-D52))</f>
        <v>641.87</v>
      </c>
      <c r="F52" s="30">
        <f>IF(A52="","",$G$8)</f>
        <v>50.0</v>
      </c>
      <c r="G52" s="30">
        <f>IF(A52="","",G51-E52)</f>
        <v>178580.71</v>
      </c>
    </row>
    <row r="53">
      <c r="A53" s="31">
        <f>IF(36&lt;=($C$9*12),36,"")</f>
        <v>36</v>
      </c>
      <c r="B53" s="32">
        <f>IF(A53="","",EDATE($C$10,A53-1))</f>
        <v>47427</v>
      </c>
      <c r="C53" s="33">
        <f>IF(A53="","",D53+E53+F53)</f>
        <v>1199.67</v>
      </c>
      <c r="D53" s="34">
        <f>IF(A53="","",ROUND(G52*$C$8/12,2))</f>
        <v>505.98</v>
      </c>
      <c r="E53" s="34">
        <f>IF(A53="","",IF(A53=($C$9*12),G52,$G$7-D53))</f>
        <v>643.69</v>
      </c>
      <c r="F53" s="34">
        <f>IF(A53="","",$G$8)</f>
        <v>50.0</v>
      </c>
      <c r="G53" s="34">
        <f>IF(A53="","",G52-E53)</f>
        <v>177937.02</v>
      </c>
    </row>
    <row r="54">
      <c r="A54" s="27">
        <f>IF(37&lt;=($C$9*12),37,"")</f>
        <v>37</v>
      </c>
      <c r="B54" s="28">
        <f>IF(A54="","",EDATE($C$10,A54-1))</f>
        <v>47457</v>
      </c>
      <c r="C54" s="29">
        <f>IF(A54="","",D54+E54+F54)</f>
        <v>1199.67</v>
      </c>
      <c r="D54" s="30">
        <f>IF(A54="","",ROUND(G53*$C$8/12,2))</f>
        <v>504.15</v>
      </c>
      <c r="E54" s="30">
        <f>IF(A54="","",IF(A54=($C$9*12),G53,$G$7-D54))</f>
        <v>645.52</v>
      </c>
      <c r="F54" s="30">
        <f>IF(A54="","",$G$8)</f>
        <v>50.0</v>
      </c>
      <c r="G54" s="30">
        <f>IF(A54="","",G53-E54)</f>
        <v>177291.5</v>
      </c>
    </row>
    <row r="55">
      <c r="A55" s="27">
        <f>IF(38&lt;=($C$9*12),38,"")</f>
        <v>38</v>
      </c>
      <c r="B55" s="28">
        <f>IF(A55="","",EDATE($C$10,A55-1))</f>
        <v>47488</v>
      </c>
      <c r="C55" s="29">
        <f>IF(A55="","",D55+E55+F55)</f>
        <v>1199.67</v>
      </c>
      <c r="D55" s="30">
        <f>IF(A55="","",ROUND(G54*$C$8/12,2))</f>
        <v>502.33</v>
      </c>
      <c r="E55" s="30">
        <f>IF(A55="","",IF(A55=($C$9*12),G54,$G$7-D55))</f>
        <v>647.34</v>
      </c>
      <c r="F55" s="30">
        <f>IF(A55="","",$G$8)</f>
        <v>50.0</v>
      </c>
      <c r="G55" s="30">
        <f>IF(A55="","",G54-E55)</f>
        <v>176644.16</v>
      </c>
    </row>
    <row r="56">
      <c r="A56" s="27">
        <f>IF(39&lt;=($C$9*12),39,"")</f>
        <v>39</v>
      </c>
      <c r="B56" s="28">
        <f>IF(A56="","",EDATE($C$10,A56-1))</f>
        <v>47519</v>
      </c>
      <c r="C56" s="29">
        <f>IF(A56="","",D56+E56+F56)</f>
        <v>1199.67</v>
      </c>
      <c r="D56" s="30">
        <f>IF(A56="","",ROUND(G55*$C$8/12,2))</f>
        <v>500.49</v>
      </c>
      <c r="E56" s="30">
        <f>IF(A56="","",IF(A56=($C$9*12),G55,$G$7-D56))</f>
        <v>649.18</v>
      </c>
      <c r="F56" s="30">
        <f>IF(A56="","",$G$8)</f>
        <v>50.0</v>
      </c>
      <c r="G56" s="30">
        <f>IF(A56="","",G55-E56)</f>
        <v>175994.98</v>
      </c>
    </row>
    <row r="57">
      <c r="A57" s="27">
        <f>IF(40&lt;=($C$9*12),40,"")</f>
        <v>40</v>
      </c>
      <c r="B57" s="28">
        <f>IF(A57="","",EDATE($C$10,A57-1))</f>
        <v>47547</v>
      </c>
      <c r="C57" s="29">
        <f>IF(A57="","",D57+E57+F57)</f>
        <v>1199.67</v>
      </c>
      <c r="D57" s="30">
        <f>IF(A57="","",ROUND(G56*$C$8/12,2))</f>
        <v>498.65</v>
      </c>
      <c r="E57" s="30">
        <f>IF(A57="","",IF(A57=($C$9*12),G56,$G$7-D57))</f>
        <v>651.02</v>
      </c>
      <c r="F57" s="30">
        <f>IF(A57="","",$G$8)</f>
        <v>50.0</v>
      </c>
      <c r="G57" s="30">
        <f>IF(A57="","",G56-E57)</f>
        <v>175343.96</v>
      </c>
    </row>
    <row r="58">
      <c r="A58" s="27">
        <f>IF(41&lt;=($C$9*12),41,"")</f>
        <v>41</v>
      </c>
      <c r="B58" s="28">
        <f>IF(A58="","",EDATE($C$10,A58-1))</f>
        <v>47578</v>
      </c>
      <c r="C58" s="29">
        <f>IF(A58="","",D58+E58+F58)</f>
        <v>1199.67</v>
      </c>
      <c r="D58" s="30">
        <f>IF(A58="","",ROUND(G57*$C$8/12,2))</f>
        <v>496.81</v>
      </c>
      <c r="E58" s="30">
        <f>IF(A58="","",IF(A58=($C$9*12),G57,$G$7-D58))</f>
        <v>652.86</v>
      </c>
      <c r="F58" s="30">
        <f>IF(A58="","",$G$8)</f>
        <v>50.0</v>
      </c>
      <c r="G58" s="30">
        <f>IF(A58="","",G57-E58)</f>
        <v>174691.1</v>
      </c>
    </row>
    <row r="59">
      <c r="A59" s="27">
        <f>IF(42&lt;=($C$9*12),42,"")</f>
        <v>42</v>
      </c>
      <c r="B59" s="28">
        <f>IF(A59="","",EDATE($C$10,A59-1))</f>
        <v>47608</v>
      </c>
      <c r="C59" s="29">
        <f>IF(A59="","",D59+E59+F59)</f>
        <v>1199.67</v>
      </c>
      <c r="D59" s="30">
        <f>IF(A59="","",ROUND(G58*$C$8/12,2))</f>
        <v>494.96</v>
      </c>
      <c r="E59" s="30">
        <f>IF(A59="","",IF(A59=($C$9*12),G58,$G$7-D59))</f>
        <v>654.71</v>
      </c>
      <c r="F59" s="30">
        <f>IF(A59="","",$G$8)</f>
        <v>50.0</v>
      </c>
      <c r="G59" s="30">
        <f>IF(A59="","",G58-E59)</f>
        <v>174036.39</v>
      </c>
    </row>
    <row r="60">
      <c r="A60" s="27">
        <f>IF(43&lt;=($C$9*12),43,"")</f>
        <v>43</v>
      </c>
      <c r="B60" s="28">
        <f>IF(A60="","",EDATE($C$10,A60-1))</f>
        <v>47639</v>
      </c>
      <c r="C60" s="29">
        <f>IF(A60="","",D60+E60+F60)</f>
        <v>1199.67</v>
      </c>
      <c r="D60" s="30">
        <f>IF(A60="","",ROUND(G59*$C$8/12,2))</f>
        <v>493.1</v>
      </c>
      <c r="E60" s="30">
        <f>IF(A60="","",IF(A60=($C$9*12),G59,$G$7-D60))</f>
        <v>656.57</v>
      </c>
      <c r="F60" s="30">
        <f>IF(A60="","",$G$8)</f>
        <v>50.0</v>
      </c>
      <c r="G60" s="30">
        <f>IF(A60="","",G59-E60)</f>
        <v>173379.82</v>
      </c>
    </row>
    <row r="61">
      <c r="A61" s="27">
        <f>IF(44&lt;=($C$9*12),44,"")</f>
        <v>44</v>
      </c>
      <c r="B61" s="28">
        <f>IF(A61="","",EDATE($C$10,A61-1))</f>
        <v>47669</v>
      </c>
      <c r="C61" s="29">
        <f>IF(A61="","",D61+E61+F61)</f>
        <v>1199.67</v>
      </c>
      <c r="D61" s="30">
        <f>IF(A61="","",ROUND(G60*$C$8/12,2))</f>
        <v>491.24</v>
      </c>
      <c r="E61" s="30">
        <f>IF(A61="","",IF(A61=($C$9*12),G60,$G$7-D61))</f>
        <v>658.43</v>
      </c>
      <c r="F61" s="30">
        <f>IF(A61="","",$G$8)</f>
        <v>50.0</v>
      </c>
      <c r="G61" s="30">
        <f>IF(A61="","",G60-E61)</f>
        <v>172721.39</v>
      </c>
    </row>
    <row r="62">
      <c r="A62" s="27">
        <f>IF(45&lt;=($C$9*12),45,"")</f>
        <v>45</v>
      </c>
      <c r="B62" s="28">
        <f>IF(A62="","",EDATE($C$10,A62-1))</f>
        <v>47700</v>
      </c>
      <c r="C62" s="29">
        <f>IF(A62="","",D62+E62+F62)</f>
        <v>1199.67</v>
      </c>
      <c r="D62" s="30">
        <f>IF(A62="","",ROUND(G61*$C$8/12,2))</f>
        <v>489.38</v>
      </c>
      <c r="E62" s="30">
        <f>IF(A62="","",IF(A62=($C$9*12),G61,$G$7-D62))</f>
        <v>660.29</v>
      </c>
      <c r="F62" s="30">
        <f>IF(A62="","",$G$8)</f>
        <v>50.0</v>
      </c>
      <c r="G62" s="30">
        <f>IF(A62="","",G61-E62)</f>
        <v>172061.1</v>
      </c>
    </row>
    <row r="63">
      <c r="A63" s="27">
        <f>IF(46&lt;=($C$9*12),46,"")</f>
        <v>46</v>
      </c>
      <c r="B63" s="28">
        <f>IF(A63="","",EDATE($C$10,A63-1))</f>
        <v>47731</v>
      </c>
      <c r="C63" s="29">
        <f>IF(A63="","",D63+E63+F63)</f>
        <v>1199.67</v>
      </c>
      <c r="D63" s="30">
        <f>IF(A63="","",ROUND(G62*$C$8/12,2))</f>
        <v>487.51</v>
      </c>
      <c r="E63" s="30">
        <f>IF(A63="","",IF(A63=($C$9*12),G62,$G$7-D63))</f>
        <v>662.16</v>
      </c>
      <c r="F63" s="30">
        <f>IF(A63="","",$G$8)</f>
        <v>50.0</v>
      </c>
      <c r="G63" s="30">
        <f>IF(A63="","",G62-E63)</f>
        <v>171398.94</v>
      </c>
    </row>
    <row r="64">
      <c r="A64" s="27">
        <f>IF(47&lt;=($C$9*12),47,"")</f>
        <v>47</v>
      </c>
      <c r="B64" s="28">
        <f>IF(A64="","",EDATE($C$10,A64-1))</f>
        <v>47761</v>
      </c>
      <c r="C64" s="29">
        <f>IF(A64="","",D64+E64+F64)</f>
        <v>1199.67</v>
      </c>
      <c r="D64" s="30">
        <f>IF(A64="","",ROUND(G63*$C$8/12,2))</f>
        <v>485.63</v>
      </c>
      <c r="E64" s="30">
        <f>IF(A64="","",IF(A64=($C$9*12),G63,$G$7-D64))</f>
        <v>664.04</v>
      </c>
      <c r="F64" s="30">
        <f>IF(A64="","",$G$8)</f>
        <v>50.0</v>
      </c>
      <c r="G64" s="30">
        <f>IF(A64="","",G63-E64)</f>
        <v>170734.9</v>
      </c>
    </row>
    <row r="65">
      <c r="A65" s="31">
        <f>IF(48&lt;=($C$9*12),48,"")</f>
        <v>48</v>
      </c>
      <c r="B65" s="32">
        <f>IF(A65="","",EDATE($C$10,A65-1))</f>
        <v>47792</v>
      </c>
      <c r="C65" s="33">
        <f>IF(A65="","",D65+E65+F65)</f>
        <v>1199.67</v>
      </c>
      <c r="D65" s="34">
        <f>IF(A65="","",ROUND(G64*$C$8/12,2))</f>
        <v>483.75</v>
      </c>
      <c r="E65" s="34">
        <f>IF(A65="","",IF(A65=($C$9*12),G64,$G$7-D65))</f>
        <v>665.92</v>
      </c>
      <c r="F65" s="34">
        <f>IF(A65="","",$G$8)</f>
        <v>50.0</v>
      </c>
      <c r="G65" s="34">
        <f>IF(A65="","",G64-E65)</f>
        <v>170068.98</v>
      </c>
    </row>
    <row r="66">
      <c r="A66" s="27">
        <f>IF(49&lt;=($C$9*12),49,"")</f>
        <v>49</v>
      </c>
      <c r="B66" s="28">
        <f>IF(A66="","",EDATE($C$10,A66-1))</f>
        <v>47822</v>
      </c>
      <c r="C66" s="29">
        <f>IF(A66="","",D66+E66+F66)</f>
        <v>1199.67</v>
      </c>
      <c r="D66" s="30">
        <f>IF(A66="","",ROUND(G65*$C$8/12,2))</f>
        <v>481.86</v>
      </c>
      <c r="E66" s="30">
        <f>IF(A66="","",IF(A66=($C$9*12),G65,$G$7-D66))</f>
        <v>667.81</v>
      </c>
      <c r="F66" s="30">
        <f>IF(A66="","",$G$8)</f>
        <v>50.0</v>
      </c>
      <c r="G66" s="30">
        <f>IF(A66="","",G65-E66)</f>
        <v>169401.17</v>
      </c>
    </row>
    <row r="67">
      <c r="A67" s="27">
        <f>IF(50&lt;=($C$9*12),50,"")</f>
        <v>50</v>
      </c>
      <c r="B67" s="28">
        <f>IF(A67="","",EDATE($C$10,A67-1))</f>
        <v>47853</v>
      </c>
      <c r="C67" s="29">
        <f>IF(A67="","",D67+E67+F67)</f>
        <v>1199.67</v>
      </c>
      <c r="D67" s="30">
        <f>IF(A67="","",ROUND(G66*$C$8/12,2))</f>
        <v>479.97</v>
      </c>
      <c r="E67" s="30">
        <f>IF(A67="","",IF(A67=($C$9*12),G66,$G$7-D67))</f>
        <v>669.7</v>
      </c>
      <c r="F67" s="30">
        <f>IF(A67="","",$G$8)</f>
        <v>50.0</v>
      </c>
      <c r="G67" s="30">
        <f>IF(A67="","",G66-E67)</f>
        <v>168731.47</v>
      </c>
    </row>
    <row r="68">
      <c r="A68" s="27">
        <f>IF(51&lt;=($C$9*12),51,"")</f>
        <v>51</v>
      </c>
      <c r="B68" s="28">
        <f>IF(A68="","",EDATE($C$10,A68-1))</f>
        <v>47884</v>
      </c>
      <c r="C68" s="29">
        <f>IF(A68="","",D68+E68+F68)</f>
        <v>1199.67</v>
      </c>
      <c r="D68" s="30">
        <f>IF(A68="","",ROUND(G67*$C$8/12,2))</f>
        <v>478.07</v>
      </c>
      <c r="E68" s="30">
        <f>IF(A68="","",IF(A68=($C$9*12),G67,$G$7-D68))</f>
        <v>671.6</v>
      </c>
      <c r="F68" s="30">
        <f>IF(A68="","",$G$8)</f>
        <v>50.0</v>
      </c>
      <c r="G68" s="30">
        <f>IF(A68="","",G67-E68)</f>
        <v>168059.87</v>
      </c>
    </row>
    <row r="69">
      <c r="A69" s="27">
        <f>IF(52&lt;=($C$9*12),52,"")</f>
        <v>52</v>
      </c>
      <c r="B69" s="28">
        <f>IF(A69="","",EDATE($C$10,A69-1))</f>
        <v>47912</v>
      </c>
      <c r="C69" s="29">
        <f>IF(A69="","",D69+E69+F69)</f>
        <v>1199.67</v>
      </c>
      <c r="D69" s="30">
        <f>IF(A69="","",ROUND(G68*$C$8/12,2))</f>
        <v>476.17</v>
      </c>
      <c r="E69" s="30">
        <f>IF(A69="","",IF(A69=($C$9*12),G68,$G$7-D69))</f>
        <v>673.5</v>
      </c>
      <c r="F69" s="30">
        <f>IF(A69="","",$G$8)</f>
        <v>50.0</v>
      </c>
      <c r="G69" s="30">
        <f>IF(A69="","",G68-E69)</f>
        <v>167386.37</v>
      </c>
    </row>
    <row r="70">
      <c r="A70" s="27">
        <f>IF(53&lt;=($C$9*12),53,"")</f>
        <v>53</v>
      </c>
      <c r="B70" s="28">
        <f>IF(A70="","",EDATE($C$10,A70-1))</f>
        <v>47943</v>
      </c>
      <c r="C70" s="29">
        <f>IF(A70="","",D70+E70+F70)</f>
        <v>1199.67</v>
      </c>
      <c r="D70" s="30">
        <f>IF(A70="","",ROUND(G69*$C$8/12,2))</f>
        <v>474.26</v>
      </c>
      <c r="E70" s="30">
        <f>IF(A70="","",IF(A70=($C$9*12),G69,$G$7-D70))</f>
        <v>675.41</v>
      </c>
      <c r="F70" s="30">
        <f>IF(A70="","",$G$8)</f>
        <v>50.0</v>
      </c>
      <c r="G70" s="30">
        <f>IF(A70="","",G69-E70)</f>
        <v>166710.96</v>
      </c>
    </row>
    <row r="71">
      <c r="A71" s="27">
        <f>IF(54&lt;=($C$9*12),54,"")</f>
        <v>54</v>
      </c>
      <c r="B71" s="28">
        <f>IF(A71="","",EDATE($C$10,A71-1))</f>
        <v>47973</v>
      </c>
      <c r="C71" s="29">
        <f>IF(A71="","",D71+E71+F71)</f>
        <v>1199.67</v>
      </c>
      <c r="D71" s="30">
        <f>IF(A71="","",ROUND(G70*$C$8/12,2))</f>
        <v>472.35</v>
      </c>
      <c r="E71" s="30">
        <f>IF(A71="","",IF(A71=($C$9*12),G70,$G$7-D71))</f>
        <v>677.32</v>
      </c>
      <c r="F71" s="30">
        <f>IF(A71="","",$G$8)</f>
        <v>50.0</v>
      </c>
      <c r="G71" s="30">
        <f>IF(A71="","",G70-E71)</f>
        <v>166033.64</v>
      </c>
    </row>
    <row r="72">
      <c r="A72" s="27">
        <f>IF(55&lt;=($C$9*12),55,"")</f>
        <v>55</v>
      </c>
      <c r="B72" s="28">
        <f>IF(A72="","",EDATE($C$10,A72-1))</f>
        <v>48004</v>
      </c>
      <c r="C72" s="29">
        <f>IF(A72="","",D72+E72+F72)</f>
        <v>1199.67</v>
      </c>
      <c r="D72" s="30">
        <f>IF(A72="","",ROUND(G71*$C$8/12,2))</f>
        <v>470.43</v>
      </c>
      <c r="E72" s="30">
        <f>IF(A72="","",IF(A72=($C$9*12),G71,$G$7-D72))</f>
        <v>679.24</v>
      </c>
      <c r="F72" s="30">
        <f>IF(A72="","",$G$8)</f>
        <v>50.0</v>
      </c>
      <c r="G72" s="30">
        <f>IF(A72="","",G71-E72)</f>
        <v>165354.4</v>
      </c>
    </row>
    <row r="73">
      <c r="A73" s="27">
        <f>IF(56&lt;=($C$9*12),56,"")</f>
        <v>56</v>
      </c>
      <c r="B73" s="28">
        <f>IF(A73="","",EDATE($C$10,A73-1))</f>
        <v>48034</v>
      </c>
      <c r="C73" s="29">
        <f>IF(A73="","",D73+E73+F73)</f>
        <v>1199.67</v>
      </c>
      <c r="D73" s="30">
        <f>IF(A73="","",ROUND(G72*$C$8/12,2))</f>
        <v>468.5</v>
      </c>
      <c r="E73" s="30">
        <f>IF(A73="","",IF(A73=($C$9*12),G72,$G$7-D73))</f>
        <v>681.17</v>
      </c>
      <c r="F73" s="30">
        <f>IF(A73="","",$G$8)</f>
        <v>50.0</v>
      </c>
      <c r="G73" s="30">
        <f>IF(A73="","",G72-E73)</f>
        <v>164673.23</v>
      </c>
    </row>
    <row r="74">
      <c r="A74" s="27">
        <f>IF(57&lt;=($C$9*12),57,"")</f>
        <v>57</v>
      </c>
      <c r="B74" s="28">
        <f>IF(A74="","",EDATE($C$10,A74-1))</f>
        <v>48065</v>
      </c>
      <c r="C74" s="29">
        <f>IF(A74="","",D74+E74+F74)</f>
        <v>1199.67</v>
      </c>
      <c r="D74" s="30">
        <f>IF(A74="","",ROUND(G73*$C$8/12,2))</f>
        <v>466.57</v>
      </c>
      <c r="E74" s="30">
        <f>IF(A74="","",IF(A74=($C$9*12),G73,$G$7-D74))</f>
        <v>683.1</v>
      </c>
      <c r="F74" s="30">
        <f>IF(A74="","",$G$8)</f>
        <v>50.0</v>
      </c>
      <c r="G74" s="30">
        <f>IF(A74="","",G73-E74)</f>
        <v>163990.13</v>
      </c>
    </row>
    <row r="75">
      <c r="A75" s="27">
        <f>IF(58&lt;=($C$9*12),58,"")</f>
        <v>58</v>
      </c>
      <c r="B75" s="28">
        <f>IF(A75="","",EDATE($C$10,A75-1))</f>
        <v>48096</v>
      </c>
      <c r="C75" s="29">
        <f>IF(A75="","",D75+E75+F75)</f>
        <v>1199.67</v>
      </c>
      <c r="D75" s="30">
        <f>IF(A75="","",ROUND(G74*$C$8/12,2))</f>
        <v>464.64</v>
      </c>
      <c r="E75" s="30">
        <f>IF(A75="","",IF(A75=($C$9*12),G74,$G$7-D75))</f>
        <v>685.03</v>
      </c>
      <c r="F75" s="30">
        <f>IF(A75="","",$G$8)</f>
        <v>50.0</v>
      </c>
      <c r="G75" s="30">
        <f>IF(A75="","",G74-E75)</f>
        <v>163305.1</v>
      </c>
    </row>
    <row r="76">
      <c r="A76" s="27">
        <f>IF(59&lt;=($C$9*12),59,"")</f>
        <v>59</v>
      </c>
      <c r="B76" s="28">
        <f>IF(A76="","",EDATE($C$10,A76-1))</f>
        <v>48126</v>
      </c>
      <c r="C76" s="29">
        <f>IF(A76="","",D76+E76+F76)</f>
        <v>1199.67</v>
      </c>
      <c r="D76" s="30">
        <f>IF(A76="","",ROUND(G75*$C$8/12,2))</f>
        <v>462.7</v>
      </c>
      <c r="E76" s="30">
        <f>IF(A76="","",IF(A76=($C$9*12),G75,$G$7-D76))</f>
        <v>686.97</v>
      </c>
      <c r="F76" s="30">
        <f>IF(A76="","",$G$8)</f>
        <v>50.0</v>
      </c>
      <c r="G76" s="30">
        <f>IF(A76="","",G75-E76)</f>
        <v>162618.13</v>
      </c>
    </row>
    <row r="77">
      <c r="A77" s="31">
        <f>IF(60&lt;=($C$9*12),60,"")</f>
        <v>60</v>
      </c>
      <c r="B77" s="32">
        <f>IF(A77="","",EDATE($C$10,A77-1))</f>
        <v>48157</v>
      </c>
      <c r="C77" s="33">
        <f>IF(A77="","",D77+E77+F77)</f>
        <v>1199.67</v>
      </c>
      <c r="D77" s="34">
        <f>IF(A77="","",ROUND(G76*$C$8/12,2))</f>
        <v>460.75</v>
      </c>
      <c r="E77" s="34">
        <f>IF(A77="","",IF(A77=($C$9*12),G76,$G$7-D77))</f>
        <v>688.92</v>
      </c>
      <c r="F77" s="34">
        <f>IF(A77="","",$G$8)</f>
        <v>50.0</v>
      </c>
      <c r="G77" s="34">
        <f>IF(A77="","",G76-E77)</f>
        <v>161929.21</v>
      </c>
    </row>
    <row r="78">
      <c r="A78" s="27">
        <f>IF(61&lt;=($C$9*12),61,"")</f>
        <v>61</v>
      </c>
      <c r="B78" s="28">
        <f>IF(A78="","",EDATE($C$10,A78-1))</f>
        <v>48187</v>
      </c>
      <c r="C78" s="29">
        <f>IF(A78="","",D78+E78+F78)</f>
        <v>1199.67</v>
      </c>
      <c r="D78" s="30">
        <f>IF(A78="","",ROUND(G77*$C$8/12,2))</f>
        <v>458.8</v>
      </c>
      <c r="E78" s="30">
        <f>IF(A78="","",IF(A78=($C$9*12),G77,$G$7-D78))</f>
        <v>690.87</v>
      </c>
      <c r="F78" s="30">
        <f>IF(A78="","",$G$8)</f>
        <v>50.0</v>
      </c>
      <c r="G78" s="30">
        <f>IF(A78="","",G77-E78)</f>
        <v>161238.34</v>
      </c>
    </row>
    <row r="79">
      <c r="A79" s="27">
        <f>IF(62&lt;=($C$9*12),62,"")</f>
        <v>62</v>
      </c>
      <c r="B79" s="28">
        <f>IF(A79="","",EDATE($C$10,A79-1))</f>
        <v>48218</v>
      </c>
      <c r="C79" s="29">
        <f>IF(A79="","",D79+E79+F79)</f>
        <v>1199.67</v>
      </c>
      <c r="D79" s="30">
        <f>IF(A79="","",ROUND(G78*$C$8/12,2))</f>
        <v>456.84</v>
      </c>
      <c r="E79" s="30">
        <f>IF(A79="","",IF(A79=($C$9*12),G78,$G$7-D79))</f>
        <v>692.83</v>
      </c>
      <c r="F79" s="30">
        <f>IF(A79="","",$G$8)</f>
        <v>50.0</v>
      </c>
      <c r="G79" s="30">
        <f>IF(A79="","",G78-E79)</f>
        <v>160545.51</v>
      </c>
    </row>
    <row r="80">
      <c r="A80" s="27">
        <f>IF(63&lt;=($C$9*12),63,"")</f>
        <v>63</v>
      </c>
      <c r="B80" s="28">
        <f>IF(A80="","",EDATE($C$10,A80-1))</f>
        <v>48249</v>
      </c>
      <c r="C80" s="29">
        <f>IF(A80="","",D80+E80+F80)</f>
        <v>1199.67</v>
      </c>
      <c r="D80" s="30">
        <f>IF(A80="","",ROUND(G79*$C$8/12,2))</f>
        <v>454.88</v>
      </c>
      <c r="E80" s="30">
        <f>IF(A80="","",IF(A80=($C$9*12),G79,$G$7-D80))</f>
        <v>694.79</v>
      </c>
      <c r="F80" s="30">
        <f>IF(A80="","",$G$8)</f>
        <v>50.0</v>
      </c>
      <c r="G80" s="30">
        <f>IF(A80="","",G79-E80)</f>
        <v>159850.72</v>
      </c>
    </row>
    <row r="81">
      <c r="A81" s="27">
        <f>IF(64&lt;=($C$9*12),64,"")</f>
        <v>64</v>
      </c>
      <c r="B81" s="28">
        <f>IF(A81="","",EDATE($C$10,A81-1))</f>
        <v>48278</v>
      </c>
      <c r="C81" s="29">
        <f>IF(A81="","",D81+E81+F81)</f>
        <v>1199.67</v>
      </c>
      <c r="D81" s="30">
        <f>IF(A81="","",ROUND(G80*$C$8/12,2))</f>
        <v>452.91</v>
      </c>
      <c r="E81" s="30">
        <f>IF(A81="","",IF(A81=($C$9*12),G80,$G$7-D81))</f>
        <v>696.76</v>
      </c>
      <c r="F81" s="30">
        <f>IF(A81="","",$G$8)</f>
        <v>50.0</v>
      </c>
      <c r="G81" s="30">
        <f>IF(A81="","",G80-E81)</f>
        <v>159153.96</v>
      </c>
    </row>
    <row r="82">
      <c r="A82" s="27">
        <f>IF(65&lt;=($C$9*12),65,"")</f>
        <v>65</v>
      </c>
      <c r="B82" s="28">
        <f>IF(A82="","",EDATE($C$10,A82-1))</f>
        <v>48309</v>
      </c>
      <c r="C82" s="29">
        <f>IF(A82="","",D82+E82+F82)</f>
        <v>1199.67</v>
      </c>
      <c r="D82" s="30">
        <f>IF(A82="","",ROUND(G81*$C$8/12,2))</f>
        <v>450.94</v>
      </c>
      <c r="E82" s="30">
        <f>IF(A82="","",IF(A82=($C$9*12),G81,$G$7-D82))</f>
        <v>698.73</v>
      </c>
      <c r="F82" s="30">
        <f>IF(A82="","",$G$8)</f>
        <v>50.0</v>
      </c>
      <c r="G82" s="30">
        <f>IF(A82="","",G81-E82)</f>
        <v>158455.23</v>
      </c>
    </row>
    <row r="83">
      <c r="A83" s="27">
        <f>IF(66&lt;=($C$9*12),66,"")</f>
        <v>66</v>
      </c>
      <c r="B83" s="28">
        <f>IF(A83="","",EDATE($C$10,A83-1))</f>
        <v>48339</v>
      </c>
      <c r="C83" s="29">
        <f>IF(A83="","",D83+E83+F83)</f>
        <v>1199.67</v>
      </c>
      <c r="D83" s="30">
        <f>IF(A83="","",ROUND(G82*$C$8/12,2))</f>
        <v>448.96</v>
      </c>
      <c r="E83" s="30">
        <f>IF(A83="","",IF(A83=($C$9*12),G82,$G$7-D83))</f>
        <v>700.71</v>
      </c>
      <c r="F83" s="30">
        <f>IF(A83="","",$G$8)</f>
        <v>50.0</v>
      </c>
      <c r="G83" s="30">
        <f>IF(A83="","",G82-E83)</f>
        <v>157754.52</v>
      </c>
    </row>
    <row r="84">
      <c r="A84" s="27">
        <f>IF(67&lt;=($C$9*12),67,"")</f>
        <v>67</v>
      </c>
      <c r="B84" s="28">
        <f>IF(A84="","",EDATE($C$10,A84-1))</f>
        <v>48370</v>
      </c>
      <c r="C84" s="29">
        <f>IF(A84="","",D84+E84+F84)</f>
        <v>1199.67</v>
      </c>
      <c r="D84" s="30">
        <f>IF(A84="","",ROUND(G83*$C$8/12,2))</f>
        <v>446.97</v>
      </c>
      <c r="E84" s="30">
        <f>IF(A84="","",IF(A84=($C$9*12),G83,$G$7-D84))</f>
        <v>702.7</v>
      </c>
      <c r="F84" s="30">
        <f>IF(A84="","",$G$8)</f>
        <v>50.0</v>
      </c>
      <c r="G84" s="30">
        <f>IF(A84="","",G83-E84)</f>
        <v>157051.82</v>
      </c>
    </row>
    <row r="85">
      <c r="A85" s="27">
        <f>IF(68&lt;=($C$9*12),68,"")</f>
        <v>68</v>
      </c>
      <c r="B85" s="28">
        <f>IF(A85="","",EDATE($C$10,A85-1))</f>
        <v>48400</v>
      </c>
      <c r="C85" s="29">
        <f>IF(A85="","",D85+E85+F85)</f>
        <v>1199.67</v>
      </c>
      <c r="D85" s="30">
        <f>IF(A85="","",ROUND(G84*$C$8/12,2))</f>
        <v>444.98</v>
      </c>
      <c r="E85" s="30">
        <f>IF(A85="","",IF(A85=($C$9*12),G84,$G$7-D85))</f>
        <v>704.69</v>
      </c>
      <c r="F85" s="30">
        <f>IF(A85="","",$G$8)</f>
        <v>50.0</v>
      </c>
      <c r="G85" s="30">
        <f>IF(A85="","",G84-E85)</f>
        <v>156347.13</v>
      </c>
    </row>
    <row r="86">
      <c r="A86" s="27">
        <f>IF(69&lt;=($C$9*12),69,"")</f>
        <v>69</v>
      </c>
      <c r="B86" s="28">
        <f>IF(A86="","",EDATE($C$10,A86-1))</f>
        <v>48431</v>
      </c>
      <c r="C86" s="29">
        <f>IF(A86="","",D86+E86+F86)</f>
        <v>1199.67</v>
      </c>
      <c r="D86" s="30">
        <f>IF(A86="","",ROUND(G85*$C$8/12,2))</f>
        <v>442.98</v>
      </c>
      <c r="E86" s="30">
        <f>IF(A86="","",IF(A86=($C$9*12),G85,$G$7-D86))</f>
        <v>706.69</v>
      </c>
      <c r="F86" s="30">
        <f>IF(A86="","",$G$8)</f>
        <v>50.0</v>
      </c>
      <c r="G86" s="30">
        <f>IF(A86="","",G85-E86)</f>
        <v>155640.44</v>
      </c>
    </row>
    <row r="87">
      <c r="A87" s="27">
        <f>IF(70&lt;=($C$9*12),70,"")</f>
        <v>70</v>
      </c>
      <c r="B87" s="28">
        <f>IF(A87="","",EDATE($C$10,A87-1))</f>
        <v>48462</v>
      </c>
      <c r="C87" s="29">
        <f>IF(A87="","",D87+E87+F87)</f>
        <v>1199.67</v>
      </c>
      <c r="D87" s="30">
        <f>IF(A87="","",ROUND(G86*$C$8/12,2))</f>
        <v>440.98</v>
      </c>
      <c r="E87" s="30">
        <f>IF(A87="","",IF(A87=($C$9*12),G86,$G$7-D87))</f>
        <v>708.69</v>
      </c>
      <c r="F87" s="30">
        <f>IF(A87="","",$G$8)</f>
        <v>50.0</v>
      </c>
      <c r="G87" s="30">
        <f>IF(A87="","",G86-E87)</f>
        <v>154931.75</v>
      </c>
    </row>
    <row r="88">
      <c r="A88" s="27">
        <f>IF(71&lt;=($C$9*12),71,"")</f>
        <v>71</v>
      </c>
      <c r="B88" s="28">
        <f>IF(A88="","",EDATE($C$10,A88-1))</f>
        <v>48492</v>
      </c>
      <c r="C88" s="29">
        <f>IF(A88="","",D88+E88+F88)</f>
        <v>1199.67</v>
      </c>
      <c r="D88" s="30">
        <f>IF(A88="","",ROUND(G87*$C$8/12,2))</f>
        <v>438.97</v>
      </c>
      <c r="E88" s="30">
        <f>IF(A88="","",IF(A88=($C$9*12),G87,$G$7-D88))</f>
        <v>710.7</v>
      </c>
      <c r="F88" s="30">
        <f>IF(A88="","",$G$8)</f>
        <v>50.0</v>
      </c>
      <c r="G88" s="30">
        <f>IF(A88="","",G87-E88)</f>
        <v>154221.05</v>
      </c>
    </row>
    <row r="89">
      <c r="A89" s="31">
        <f>IF(72&lt;=($C$9*12),72,"")</f>
        <v>72</v>
      </c>
      <c r="B89" s="32">
        <f>IF(A89="","",EDATE($C$10,A89-1))</f>
        <v>48523</v>
      </c>
      <c r="C89" s="33">
        <f>IF(A89="","",D89+E89+F89)</f>
        <v>1199.67</v>
      </c>
      <c r="D89" s="34">
        <f>IF(A89="","",ROUND(G88*$C$8/12,2))</f>
        <v>436.96</v>
      </c>
      <c r="E89" s="34">
        <f>IF(A89="","",IF(A89=($C$9*12),G88,$G$7-D89))</f>
        <v>712.71</v>
      </c>
      <c r="F89" s="34">
        <f>IF(A89="","",$G$8)</f>
        <v>50.0</v>
      </c>
      <c r="G89" s="34">
        <f>IF(A89="","",G88-E89)</f>
        <v>153508.34</v>
      </c>
    </row>
    <row r="90">
      <c r="A90" s="27">
        <f>IF(73&lt;=($C$9*12),73,"")</f>
        <v>73</v>
      </c>
      <c r="B90" s="28">
        <f>IF(A90="","",EDATE($C$10,A90-1))</f>
        <v>48553</v>
      </c>
      <c r="C90" s="29">
        <f>IF(A90="","",D90+E90+F90)</f>
        <v>1199.67</v>
      </c>
      <c r="D90" s="30">
        <f>IF(A90="","",ROUND(G89*$C$8/12,2))</f>
        <v>434.94</v>
      </c>
      <c r="E90" s="30">
        <f>IF(A90="","",IF(A90=($C$9*12),G89,$G$7-D90))</f>
        <v>714.73</v>
      </c>
      <c r="F90" s="30">
        <f>IF(A90="","",$G$8)</f>
        <v>50.0</v>
      </c>
      <c r="G90" s="30">
        <f>IF(A90="","",G89-E90)</f>
        <v>152793.61</v>
      </c>
    </row>
    <row r="91">
      <c r="A91" s="27">
        <f>IF(74&lt;=($C$9*12),74,"")</f>
        <v>74</v>
      </c>
      <c r="B91" s="28">
        <f>IF(A91="","",EDATE($C$10,A91-1))</f>
        <v>48584</v>
      </c>
      <c r="C91" s="29">
        <f>IF(A91="","",D91+E91+F91)</f>
        <v>1199.67</v>
      </c>
      <c r="D91" s="30">
        <f>IF(A91="","",ROUND(G90*$C$8/12,2))</f>
        <v>432.92</v>
      </c>
      <c r="E91" s="30">
        <f>IF(A91="","",IF(A91=($C$9*12),G90,$G$7-D91))</f>
        <v>716.75</v>
      </c>
      <c r="F91" s="30">
        <f>IF(A91="","",$G$8)</f>
        <v>50.0</v>
      </c>
      <c r="G91" s="30">
        <f>IF(A91="","",G90-E91)</f>
        <v>152076.86</v>
      </c>
    </row>
    <row r="92">
      <c r="A92" s="27">
        <f>IF(75&lt;=($C$9*12),75,"")</f>
        <v>75</v>
      </c>
      <c r="B92" s="28">
        <f>IF(A92="","",EDATE($C$10,A92-1))</f>
        <v>48615</v>
      </c>
      <c r="C92" s="29">
        <f>IF(A92="","",D92+E92+F92)</f>
        <v>1199.67</v>
      </c>
      <c r="D92" s="30">
        <f>IF(A92="","",ROUND(G91*$C$8/12,2))</f>
        <v>430.88</v>
      </c>
      <c r="E92" s="30">
        <f>IF(A92="","",IF(A92=($C$9*12),G91,$G$7-D92))</f>
        <v>718.79</v>
      </c>
      <c r="F92" s="30">
        <f>IF(A92="","",$G$8)</f>
        <v>50.0</v>
      </c>
      <c r="G92" s="30">
        <f>IF(A92="","",G91-E92)</f>
        <v>151358.07</v>
      </c>
    </row>
    <row r="93">
      <c r="A93" s="27">
        <f>IF(76&lt;=($C$9*12),76,"")</f>
        <v>76</v>
      </c>
      <c r="B93" s="28">
        <f>IF(A93="","",EDATE($C$10,A93-1))</f>
        <v>48643</v>
      </c>
      <c r="C93" s="29">
        <f>IF(A93="","",D93+E93+F93)</f>
        <v>1199.67</v>
      </c>
      <c r="D93" s="30">
        <f>IF(A93="","",ROUND(G92*$C$8/12,2))</f>
        <v>428.85</v>
      </c>
      <c r="E93" s="30">
        <f>IF(A93="","",IF(A93=($C$9*12),G92,$G$7-D93))</f>
        <v>720.82</v>
      </c>
      <c r="F93" s="30">
        <f>IF(A93="","",$G$8)</f>
        <v>50.0</v>
      </c>
      <c r="G93" s="30">
        <f>IF(A93="","",G92-E93)</f>
        <v>150637.25</v>
      </c>
    </row>
    <row r="94">
      <c r="A94" s="27">
        <f>IF(77&lt;=($C$9*12),77,"")</f>
        <v>77</v>
      </c>
      <c r="B94" s="28">
        <f>IF(A94="","",EDATE($C$10,A94-1))</f>
        <v>48674</v>
      </c>
      <c r="C94" s="29">
        <f>IF(A94="","",D94+E94+F94)</f>
        <v>1199.67</v>
      </c>
      <c r="D94" s="30">
        <f>IF(A94="","",ROUND(G93*$C$8/12,2))</f>
        <v>426.81</v>
      </c>
      <c r="E94" s="30">
        <f>IF(A94="","",IF(A94=($C$9*12),G93,$G$7-D94))</f>
        <v>722.86</v>
      </c>
      <c r="F94" s="30">
        <f>IF(A94="","",$G$8)</f>
        <v>50.0</v>
      </c>
      <c r="G94" s="30">
        <f>IF(A94="","",G93-E94)</f>
        <v>149914.39</v>
      </c>
    </row>
    <row r="95">
      <c r="A95" s="27">
        <f>IF(78&lt;=($C$9*12),78,"")</f>
        <v>78</v>
      </c>
      <c r="B95" s="28">
        <f>IF(A95="","",EDATE($C$10,A95-1))</f>
        <v>48704</v>
      </c>
      <c r="C95" s="29">
        <f>IF(A95="","",D95+E95+F95)</f>
        <v>1199.67</v>
      </c>
      <c r="D95" s="30">
        <f>IF(A95="","",ROUND(G94*$C$8/12,2))</f>
        <v>424.76</v>
      </c>
      <c r="E95" s="30">
        <f>IF(A95="","",IF(A95=($C$9*12),G94,$G$7-D95))</f>
        <v>724.91</v>
      </c>
      <c r="F95" s="30">
        <f>IF(A95="","",$G$8)</f>
        <v>50.0</v>
      </c>
      <c r="G95" s="30">
        <f>IF(A95="","",G94-E95)</f>
        <v>149189.48</v>
      </c>
    </row>
    <row r="96">
      <c r="A96" s="27">
        <f>IF(79&lt;=($C$9*12),79,"")</f>
        <v>79</v>
      </c>
      <c r="B96" s="28">
        <f>IF(A96="","",EDATE($C$10,A96-1))</f>
        <v>48735</v>
      </c>
      <c r="C96" s="29">
        <f>IF(A96="","",D96+E96+F96)</f>
        <v>1199.67</v>
      </c>
      <c r="D96" s="30">
        <f>IF(A96="","",ROUND(G95*$C$8/12,2))</f>
        <v>422.7</v>
      </c>
      <c r="E96" s="30">
        <f>IF(A96="","",IF(A96=($C$9*12),G95,$G$7-D96))</f>
        <v>726.97</v>
      </c>
      <c r="F96" s="30">
        <f>IF(A96="","",$G$8)</f>
        <v>50.0</v>
      </c>
      <c r="G96" s="30">
        <f>IF(A96="","",G95-E96)</f>
        <v>148462.51</v>
      </c>
    </row>
    <row r="97">
      <c r="A97" s="27">
        <f>IF(80&lt;=($C$9*12),80,"")</f>
        <v>80</v>
      </c>
      <c r="B97" s="28">
        <f>IF(A97="","",EDATE($C$10,A97-1))</f>
        <v>48765</v>
      </c>
      <c r="C97" s="29">
        <f>IF(A97="","",D97+E97+F97)</f>
        <v>1199.67</v>
      </c>
      <c r="D97" s="30">
        <f>IF(A97="","",ROUND(G96*$C$8/12,2))</f>
        <v>420.64</v>
      </c>
      <c r="E97" s="30">
        <f>IF(A97="","",IF(A97=($C$9*12),G96,$G$7-D97))</f>
        <v>729.03</v>
      </c>
      <c r="F97" s="30">
        <f>IF(A97="","",$G$8)</f>
        <v>50.0</v>
      </c>
      <c r="G97" s="30">
        <f>IF(A97="","",G96-E97)</f>
        <v>147733.48</v>
      </c>
    </row>
    <row r="98">
      <c r="A98" s="27">
        <f>IF(81&lt;=($C$9*12),81,"")</f>
        <v>81</v>
      </c>
      <c r="B98" s="28">
        <f>IF(A98="","",EDATE($C$10,A98-1))</f>
        <v>48796</v>
      </c>
      <c r="C98" s="29">
        <f>IF(A98="","",D98+E98+F98)</f>
        <v>1199.67</v>
      </c>
      <c r="D98" s="30">
        <f>IF(A98="","",ROUND(G97*$C$8/12,2))</f>
        <v>418.58</v>
      </c>
      <c r="E98" s="30">
        <f>IF(A98="","",IF(A98=($C$9*12),G97,$G$7-D98))</f>
        <v>731.09</v>
      </c>
      <c r="F98" s="30">
        <f>IF(A98="","",$G$8)</f>
        <v>50.0</v>
      </c>
      <c r="G98" s="30">
        <f>IF(A98="","",G97-E98)</f>
        <v>147002.39</v>
      </c>
    </row>
    <row r="99">
      <c r="A99" s="27">
        <f>IF(82&lt;=($C$9*12),82,"")</f>
        <v>82</v>
      </c>
      <c r="B99" s="28">
        <f>IF(A99="","",EDATE($C$10,A99-1))</f>
        <v>48827</v>
      </c>
      <c r="C99" s="29">
        <f>IF(A99="","",D99+E99+F99)</f>
        <v>1199.67</v>
      </c>
      <c r="D99" s="30">
        <f>IF(A99="","",ROUND(G98*$C$8/12,2))</f>
        <v>416.51</v>
      </c>
      <c r="E99" s="30">
        <f>IF(A99="","",IF(A99=($C$9*12),G98,$G$7-D99))</f>
        <v>733.16</v>
      </c>
      <c r="F99" s="30">
        <f>IF(A99="","",$G$8)</f>
        <v>50.0</v>
      </c>
      <c r="G99" s="30">
        <f>IF(A99="","",G98-E99)</f>
        <v>146269.23</v>
      </c>
    </row>
    <row r="100">
      <c r="A100" s="27">
        <f>IF(83&lt;=($C$9*12),83,"")</f>
        <v>83</v>
      </c>
      <c r="B100" s="28">
        <f>IF(A100="","",EDATE($C$10,A100-1))</f>
        <v>48857</v>
      </c>
      <c r="C100" s="29">
        <f>IF(A100="","",D100+E100+F100)</f>
        <v>1199.67</v>
      </c>
      <c r="D100" s="30">
        <f>IF(A100="","",ROUND(G99*$C$8/12,2))</f>
        <v>414.43</v>
      </c>
      <c r="E100" s="30">
        <f>IF(A100="","",IF(A100=($C$9*12),G99,$G$7-D100))</f>
        <v>735.24</v>
      </c>
      <c r="F100" s="30">
        <f>IF(A100="","",$G$8)</f>
        <v>50.0</v>
      </c>
      <c r="G100" s="30">
        <f>IF(A100="","",G99-E100)</f>
        <v>145533.99</v>
      </c>
    </row>
    <row r="101">
      <c r="A101" s="31">
        <f>IF(84&lt;=($C$9*12),84,"")</f>
        <v>84</v>
      </c>
      <c r="B101" s="32">
        <f>IF(A101="","",EDATE($C$10,A101-1))</f>
        <v>48888</v>
      </c>
      <c r="C101" s="33">
        <f>IF(A101="","",D101+E101+F101)</f>
        <v>1199.67</v>
      </c>
      <c r="D101" s="34">
        <f>IF(A101="","",ROUND(G100*$C$8/12,2))</f>
        <v>412.35</v>
      </c>
      <c r="E101" s="34">
        <f>IF(A101="","",IF(A101=($C$9*12),G100,$G$7-D101))</f>
        <v>737.32</v>
      </c>
      <c r="F101" s="34">
        <f>IF(A101="","",$G$8)</f>
        <v>50.0</v>
      </c>
      <c r="G101" s="34">
        <f>IF(A101="","",G100-E101)</f>
        <v>144796.67</v>
      </c>
    </row>
    <row r="102">
      <c r="A102" s="27">
        <f>IF(85&lt;=($C$9*12),85,"")</f>
        <v>85</v>
      </c>
      <c r="B102" s="28">
        <f>IF(A102="","",EDATE($C$10,A102-1))</f>
        <v>48918</v>
      </c>
      <c r="C102" s="29">
        <f>IF(A102="","",D102+E102+F102)</f>
        <v>1199.67</v>
      </c>
      <c r="D102" s="30">
        <f>IF(A102="","",ROUND(G101*$C$8/12,2))</f>
        <v>410.26</v>
      </c>
      <c r="E102" s="30">
        <f>IF(A102="","",IF(A102=($C$9*12),G101,$G$7-D102))</f>
        <v>739.41</v>
      </c>
      <c r="F102" s="30">
        <f>IF(A102="","",$G$8)</f>
        <v>50.0</v>
      </c>
      <c r="G102" s="30">
        <f>IF(A102="","",G101-E102)</f>
        <v>144057.26</v>
      </c>
    </row>
    <row r="103">
      <c r="A103" s="27">
        <f>IF(86&lt;=($C$9*12),86,"")</f>
        <v>86</v>
      </c>
      <c r="B103" s="28">
        <f>IF(A103="","",EDATE($C$10,A103-1))</f>
        <v>48949</v>
      </c>
      <c r="C103" s="29">
        <f>IF(A103="","",D103+E103+F103)</f>
        <v>1199.67</v>
      </c>
      <c r="D103" s="30">
        <f>IF(A103="","",ROUND(G102*$C$8/12,2))</f>
        <v>408.16</v>
      </c>
      <c r="E103" s="30">
        <f>IF(A103="","",IF(A103=($C$9*12),G102,$G$7-D103))</f>
        <v>741.51</v>
      </c>
      <c r="F103" s="30">
        <f>IF(A103="","",$G$8)</f>
        <v>50.0</v>
      </c>
      <c r="G103" s="30">
        <f>IF(A103="","",G102-E103)</f>
        <v>143315.75</v>
      </c>
    </row>
    <row r="104">
      <c r="A104" s="27">
        <f>IF(87&lt;=($C$9*12),87,"")</f>
        <v>87</v>
      </c>
      <c r="B104" s="28">
        <f>IF(A104="","",EDATE($C$10,A104-1))</f>
        <v>48980</v>
      </c>
      <c r="C104" s="29">
        <f>IF(A104="","",D104+E104+F104)</f>
        <v>1199.67</v>
      </c>
      <c r="D104" s="30">
        <f>IF(A104="","",ROUND(G103*$C$8/12,2))</f>
        <v>406.06</v>
      </c>
      <c r="E104" s="30">
        <f>IF(A104="","",IF(A104=($C$9*12),G103,$G$7-D104))</f>
        <v>743.61</v>
      </c>
      <c r="F104" s="30">
        <f>IF(A104="","",$G$8)</f>
        <v>50.0</v>
      </c>
      <c r="G104" s="30">
        <f>IF(A104="","",G103-E104)</f>
        <v>142572.14</v>
      </c>
    </row>
    <row r="105">
      <c r="A105" s="27">
        <f>IF(88&lt;=($C$9*12),88,"")</f>
        <v>88</v>
      </c>
      <c r="B105" s="28">
        <f>IF(A105="","",EDATE($C$10,A105-1))</f>
        <v>49008</v>
      </c>
      <c r="C105" s="29">
        <f>IF(A105="","",D105+E105+F105)</f>
        <v>1199.67</v>
      </c>
      <c r="D105" s="30">
        <f>IF(A105="","",ROUND(G104*$C$8/12,2))</f>
        <v>403.95</v>
      </c>
      <c r="E105" s="30">
        <f>IF(A105="","",IF(A105=($C$9*12),G104,$G$7-D105))</f>
        <v>745.72</v>
      </c>
      <c r="F105" s="30">
        <f>IF(A105="","",$G$8)</f>
        <v>50.0</v>
      </c>
      <c r="G105" s="30">
        <f>IF(A105="","",G104-E105)</f>
        <v>141826.42</v>
      </c>
    </row>
    <row r="106">
      <c r="A106" s="27">
        <f>IF(89&lt;=($C$9*12),89,"")</f>
        <v>89</v>
      </c>
      <c r="B106" s="28">
        <f>IF(A106="","",EDATE($C$10,A106-1))</f>
        <v>49039</v>
      </c>
      <c r="C106" s="29">
        <f>IF(A106="","",D106+E106+F106)</f>
        <v>1199.67</v>
      </c>
      <c r="D106" s="30">
        <f>IF(A106="","",ROUND(G105*$C$8/12,2))</f>
        <v>401.84</v>
      </c>
      <c r="E106" s="30">
        <f>IF(A106="","",IF(A106=($C$9*12),G105,$G$7-D106))</f>
        <v>747.83</v>
      </c>
      <c r="F106" s="30">
        <f>IF(A106="","",$G$8)</f>
        <v>50.0</v>
      </c>
      <c r="G106" s="30">
        <f>IF(A106="","",G105-E106)</f>
        <v>141078.59</v>
      </c>
    </row>
    <row r="107">
      <c r="A107" s="27">
        <f>IF(90&lt;=($C$9*12),90,"")</f>
        <v>90</v>
      </c>
      <c r="B107" s="28">
        <f>IF(A107="","",EDATE($C$10,A107-1))</f>
        <v>49069</v>
      </c>
      <c r="C107" s="29">
        <f>IF(A107="","",D107+E107+F107)</f>
        <v>1199.67</v>
      </c>
      <c r="D107" s="30">
        <f>IF(A107="","",ROUND(G106*$C$8/12,2))</f>
        <v>399.72</v>
      </c>
      <c r="E107" s="30">
        <f>IF(A107="","",IF(A107=($C$9*12),G106,$G$7-D107))</f>
        <v>749.95</v>
      </c>
      <c r="F107" s="30">
        <f>IF(A107="","",$G$8)</f>
        <v>50.0</v>
      </c>
      <c r="G107" s="30">
        <f>IF(A107="","",G106-E107)</f>
        <v>140328.64</v>
      </c>
    </row>
    <row r="108">
      <c r="A108" s="27">
        <f>IF(91&lt;=($C$9*12),91,"")</f>
        <v>91</v>
      </c>
      <c r="B108" s="28">
        <f>IF(A108="","",EDATE($C$10,A108-1))</f>
        <v>49100</v>
      </c>
      <c r="C108" s="29">
        <f>IF(A108="","",D108+E108+F108)</f>
        <v>1199.67</v>
      </c>
      <c r="D108" s="30">
        <f>IF(A108="","",ROUND(G107*$C$8/12,2))</f>
        <v>397.6</v>
      </c>
      <c r="E108" s="30">
        <f>IF(A108="","",IF(A108=($C$9*12),G107,$G$7-D108))</f>
        <v>752.07</v>
      </c>
      <c r="F108" s="30">
        <f>IF(A108="","",$G$8)</f>
        <v>50.0</v>
      </c>
      <c r="G108" s="30">
        <f>IF(A108="","",G107-E108)</f>
        <v>139576.57</v>
      </c>
    </row>
    <row r="109">
      <c r="A109" s="27">
        <f>IF(92&lt;=($C$9*12),92,"")</f>
        <v>92</v>
      </c>
      <c r="B109" s="28">
        <f>IF(A109="","",EDATE($C$10,A109-1))</f>
        <v>49130</v>
      </c>
      <c r="C109" s="29">
        <f>IF(A109="","",D109+E109+F109)</f>
        <v>1199.67</v>
      </c>
      <c r="D109" s="30">
        <f>IF(A109="","",ROUND(G108*$C$8/12,2))</f>
        <v>395.47</v>
      </c>
      <c r="E109" s="30">
        <f>IF(A109="","",IF(A109=($C$9*12),G108,$G$7-D109))</f>
        <v>754.2</v>
      </c>
      <c r="F109" s="30">
        <f>IF(A109="","",$G$8)</f>
        <v>50.0</v>
      </c>
      <c r="G109" s="30">
        <f>IF(A109="","",G108-E109)</f>
        <v>138822.37</v>
      </c>
    </row>
    <row r="110">
      <c r="A110" s="27">
        <f>IF(93&lt;=($C$9*12),93,"")</f>
        <v>93</v>
      </c>
      <c r="B110" s="28">
        <f>IF(A110="","",EDATE($C$10,A110-1))</f>
        <v>49161</v>
      </c>
      <c r="C110" s="29">
        <f>IF(A110="","",D110+E110+F110)</f>
        <v>1199.67</v>
      </c>
      <c r="D110" s="30">
        <f>IF(A110="","",ROUND(G109*$C$8/12,2))</f>
        <v>393.33</v>
      </c>
      <c r="E110" s="30">
        <f>IF(A110="","",IF(A110=($C$9*12),G109,$G$7-D110))</f>
        <v>756.34</v>
      </c>
      <c r="F110" s="30">
        <f>IF(A110="","",$G$8)</f>
        <v>50.0</v>
      </c>
      <c r="G110" s="30">
        <f>IF(A110="","",G109-E110)</f>
        <v>138066.03</v>
      </c>
    </row>
    <row r="111">
      <c r="A111" s="27">
        <f>IF(94&lt;=($C$9*12),94,"")</f>
        <v>94</v>
      </c>
      <c r="B111" s="28">
        <f>IF(A111="","",EDATE($C$10,A111-1))</f>
        <v>49192</v>
      </c>
      <c r="C111" s="29">
        <f>IF(A111="","",D111+E111+F111)</f>
        <v>1199.67</v>
      </c>
      <c r="D111" s="30">
        <f>IF(A111="","",ROUND(G110*$C$8/12,2))</f>
        <v>391.19</v>
      </c>
      <c r="E111" s="30">
        <f>IF(A111="","",IF(A111=($C$9*12),G110,$G$7-D111))</f>
        <v>758.48</v>
      </c>
      <c r="F111" s="30">
        <f>IF(A111="","",$G$8)</f>
        <v>50.0</v>
      </c>
      <c r="G111" s="30">
        <f>IF(A111="","",G110-E111)</f>
        <v>137307.55</v>
      </c>
    </row>
    <row r="112">
      <c r="A112" s="27">
        <f>IF(95&lt;=($C$9*12),95,"")</f>
        <v>95</v>
      </c>
      <c r="B112" s="28">
        <f>IF(A112="","",EDATE($C$10,A112-1))</f>
        <v>49222</v>
      </c>
      <c r="C112" s="29">
        <f>IF(A112="","",D112+E112+F112)</f>
        <v>1199.67</v>
      </c>
      <c r="D112" s="30">
        <f>IF(A112="","",ROUND(G111*$C$8/12,2))</f>
        <v>389.04</v>
      </c>
      <c r="E112" s="30">
        <f>IF(A112="","",IF(A112=($C$9*12),G111,$G$7-D112))</f>
        <v>760.63</v>
      </c>
      <c r="F112" s="30">
        <f>IF(A112="","",$G$8)</f>
        <v>50.0</v>
      </c>
      <c r="G112" s="30">
        <f>IF(A112="","",G111-E112)</f>
        <v>136546.92</v>
      </c>
    </row>
    <row r="113">
      <c r="A113" s="31">
        <f>IF(96&lt;=($C$9*12),96,"")</f>
        <v>96</v>
      </c>
      <c r="B113" s="32">
        <f>IF(A113="","",EDATE($C$10,A113-1))</f>
        <v>49253</v>
      </c>
      <c r="C113" s="33">
        <f>IF(A113="","",D113+E113+F113)</f>
        <v>1199.67</v>
      </c>
      <c r="D113" s="34">
        <f>IF(A113="","",ROUND(G112*$C$8/12,2))</f>
        <v>386.88</v>
      </c>
      <c r="E113" s="34">
        <f>IF(A113="","",IF(A113=($C$9*12),G112,$G$7-D113))</f>
        <v>762.79</v>
      </c>
      <c r="F113" s="34">
        <f>IF(A113="","",$G$8)</f>
        <v>50.0</v>
      </c>
      <c r="G113" s="34">
        <f>IF(A113="","",G112-E113)</f>
        <v>135784.13</v>
      </c>
    </row>
    <row r="114">
      <c r="A114" s="27">
        <f>IF(97&lt;=($C$9*12),97,"")</f>
        <v>97</v>
      </c>
      <c r="B114" s="28">
        <f>IF(A114="","",EDATE($C$10,A114-1))</f>
        <v>49283</v>
      </c>
      <c r="C114" s="29">
        <f>IF(A114="","",D114+E114+F114)</f>
        <v>1199.67</v>
      </c>
      <c r="D114" s="30">
        <f>IF(A114="","",ROUND(G113*$C$8/12,2))</f>
        <v>384.72</v>
      </c>
      <c r="E114" s="30">
        <f>IF(A114="","",IF(A114=($C$9*12),G113,$G$7-D114))</f>
        <v>764.95</v>
      </c>
      <c r="F114" s="30">
        <f>IF(A114="","",$G$8)</f>
        <v>50.0</v>
      </c>
      <c r="G114" s="30">
        <f>IF(A114="","",G113-E114)</f>
        <v>135019.18</v>
      </c>
    </row>
    <row r="115">
      <c r="A115" s="27">
        <f>IF(98&lt;=($C$9*12),98,"")</f>
        <v>98</v>
      </c>
      <c r="B115" s="28">
        <f>IF(A115="","",EDATE($C$10,A115-1))</f>
        <v>49314</v>
      </c>
      <c r="C115" s="29">
        <f>IF(A115="","",D115+E115+F115)</f>
        <v>1199.67</v>
      </c>
      <c r="D115" s="30">
        <f>IF(A115="","",ROUND(G114*$C$8/12,2))</f>
        <v>382.55</v>
      </c>
      <c r="E115" s="30">
        <f>IF(A115="","",IF(A115=($C$9*12),G114,$G$7-D115))</f>
        <v>767.12</v>
      </c>
      <c r="F115" s="30">
        <f>IF(A115="","",$G$8)</f>
        <v>50.0</v>
      </c>
      <c r="G115" s="30">
        <f>IF(A115="","",G114-E115)</f>
        <v>134252.06</v>
      </c>
    </row>
    <row r="116">
      <c r="A116" s="27">
        <f>IF(99&lt;=($C$9*12),99,"")</f>
        <v>99</v>
      </c>
      <c r="B116" s="28">
        <f>IF(A116="","",EDATE($C$10,A116-1))</f>
        <v>49345</v>
      </c>
      <c r="C116" s="29">
        <f>IF(A116="","",D116+E116+F116)</f>
        <v>1199.67</v>
      </c>
      <c r="D116" s="30">
        <f>IF(A116="","",ROUND(G115*$C$8/12,2))</f>
        <v>380.38</v>
      </c>
      <c r="E116" s="30">
        <f>IF(A116="","",IF(A116=($C$9*12),G115,$G$7-D116))</f>
        <v>769.29</v>
      </c>
      <c r="F116" s="30">
        <f>IF(A116="","",$G$8)</f>
        <v>50.0</v>
      </c>
      <c r="G116" s="30">
        <f>IF(A116="","",G115-E116)</f>
        <v>133482.77</v>
      </c>
    </row>
    <row r="117">
      <c r="A117" s="27">
        <f>IF(100&lt;=($C$9*12),100,"")</f>
        <v>100</v>
      </c>
      <c r="B117" s="28">
        <f>IF(A117="","",EDATE($C$10,A117-1))</f>
        <v>49373</v>
      </c>
      <c r="C117" s="29">
        <f>IF(A117="","",D117+E117+F117)</f>
        <v>1199.67</v>
      </c>
      <c r="D117" s="30">
        <f>IF(A117="","",ROUND(G116*$C$8/12,2))</f>
        <v>378.2</v>
      </c>
      <c r="E117" s="30">
        <f>IF(A117="","",IF(A117=($C$9*12),G116,$G$7-D117))</f>
        <v>771.47</v>
      </c>
      <c r="F117" s="30">
        <f>IF(A117="","",$G$8)</f>
        <v>50.0</v>
      </c>
      <c r="G117" s="30">
        <f>IF(A117="","",G116-E117)</f>
        <v>132711.3</v>
      </c>
    </row>
    <row r="118">
      <c r="A118" s="27">
        <f>IF(101&lt;=($C$9*12),101,"")</f>
        <v>101</v>
      </c>
      <c r="B118" s="28">
        <f>IF(A118="","",EDATE($C$10,A118-1))</f>
        <v>49404</v>
      </c>
      <c r="C118" s="29">
        <f>IF(A118="","",D118+E118+F118)</f>
        <v>1199.67</v>
      </c>
      <c r="D118" s="30">
        <f>IF(A118="","",ROUND(G117*$C$8/12,2))</f>
        <v>376.02</v>
      </c>
      <c r="E118" s="30">
        <f>IF(A118="","",IF(A118=($C$9*12),G117,$G$7-D118))</f>
        <v>773.65</v>
      </c>
      <c r="F118" s="30">
        <f>IF(A118="","",$G$8)</f>
        <v>50.0</v>
      </c>
      <c r="G118" s="30">
        <f>IF(A118="","",G117-E118)</f>
        <v>131937.65</v>
      </c>
    </row>
    <row r="119">
      <c r="A119" s="27">
        <f>IF(102&lt;=($C$9*12),102,"")</f>
        <v>102</v>
      </c>
      <c r="B119" s="28">
        <f>IF(A119="","",EDATE($C$10,A119-1))</f>
        <v>49434</v>
      </c>
      <c r="C119" s="29">
        <f>IF(A119="","",D119+E119+F119)</f>
        <v>1199.67</v>
      </c>
      <c r="D119" s="30">
        <f>IF(A119="","",ROUND(G118*$C$8/12,2))</f>
        <v>373.82</v>
      </c>
      <c r="E119" s="30">
        <f>IF(A119="","",IF(A119=($C$9*12),G118,$G$7-D119))</f>
        <v>775.85</v>
      </c>
      <c r="F119" s="30">
        <f>IF(A119="","",$G$8)</f>
        <v>50.0</v>
      </c>
      <c r="G119" s="30">
        <f>IF(A119="","",G118-E119)</f>
        <v>131161.8</v>
      </c>
    </row>
    <row r="120">
      <c r="A120" s="27">
        <f>IF(103&lt;=($C$9*12),103,"")</f>
        <v>103</v>
      </c>
      <c r="B120" s="28">
        <f>IF(A120="","",EDATE($C$10,A120-1))</f>
        <v>49465</v>
      </c>
      <c r="C120" s="29">
        <f>IF(A120="","",D120+E120+F120)</f>
        <v>1199.67</v>
      </c>
      <c r="D120" s="30">
        <f>IF(A120="","",ROUND(G119*$C$8/12,2))</f>
        <v>371.63</v>
      </c>
      <c r="E120" s="30">
        <f>IF(A120="","",IF(A120=($C$9*12),G119,$G$7-D120))</f>
        <v>778.04</v>
      </c>
      <c r="F120" s="30">
        <f>IF(A120="","",$G$8)</f>
        <v>50.0</v>
      </c>
      <c r="G120" s="30">
        <f>IF(A120="","",G119-E120)</f>
        <v>130383.76</v>
      </c>
    </row>
    <row r="121">
      <c r="A121" s="27">
        <f>IF(104&lt;=($C$9*12),104,"")</f>
        <v>104</v>
      </c>
      <c r="B121" s="28">
        <f>IF(A121="","",EDATE($C$10,A121-1))</f>
        <v>49495</v>
      </c>
      <c r="C121" s="29">
        <f>IF(A121="","",D121+E121+F121)</f>
        <v>1199.67</v>
      </c>
      <c r="D121" s="30">
        <f>IF(A121="","",ROUND(G120*$C$8/12,2))</f>
        <v>369.42</v>
      </c>
      <c r="E121" s="30">
        <f>IF(A121="","",IF(A121=($C$9*12),G120,$G$7-D121))</f>
        <v>780.25</v>
      </c>
      <c r="F121" s="30">
        <f>IF(A121="","",$G$8)</f>
        <v>50.0</v>
      </c>
      <c r="G121" s="30">
        <f>IF(A121="","",G120-E121)</f>
        <v>129603.51</v>
      </c>
    </row>
    <row r="122">
      <c r="A122" s="27">
        <f>IF(105&lt;=($C$9*12),105,"")</f>
        <v>105</v>
      </c>
      <c r="B122" s="28">
        <f>IF(A122="","",EDATE($C$10,A122-1))</f>
        <v>49526</v>
      </c>
      <c r="C122" s="29">
        <f>IF(A122="","",D122+E122+F122)</f>
        <v>1199.67</v>
      </c>
      <c r="D122" s="30">
        <f>IF(A122="","",ROUND(G121*$C$8/12,2))</f>
        <v>367.21</v>
      </c>
      <c r="E122" s="30">
        <f>IF(A122="","",IF(A122=($C$9*12),G121,$G$7-D122))</f>
        <v>782.46</v>
      </c>
      <c r="F122" s="30">
        <f>IF(A122="","",$G$8)</f>
        <v>50.0</v>
      </c>
      <c r="G122" s="30">
        <f>IF(A122="","",G121-E122)</f>
        <v>128821.05</v>
      </c>
    </row>
    <row r="123">
      <c r="A123" s="27">
        <f>IF(106&lt;=($C$9*12),106,"")</f>
        <v>106</v>
      </c>
      <c r="B123" s="28">
        <f>IF(A123="","",EDATE($C$10,A123-1))</f>
        <v>49557</v>
      </c>
      <c r="C123" s="29">
        <f>IF(A123="","",D123+E123+F123)</f>
        <v>1199.67</v>
      </c>
      <c r="D123" s="30">
        <f>IF(A123="","",ROUND(G122*$C$8/12,2))</f>
        <v>364.99</v>
      </c>
      <c r="E123" s="30">
        <f>IF(A123="","",IF(A123=($C$9*12),G122,$G$7-D123))</f>
        <v>784.68</v>
      </c>
      <c r="F123" s="30">
        <f>IF(A123="","",$G$8)</f>
        <v>50.0</v>
      </c>
      <c r="G123" s="30">
        <f>IF(A123="","",G122-E123)</f>
        <v>128036.37</v>
      </c>
    </row>
    <row r="124">
      <c r="A124" s="27">
        <f>IF(107&lt;=($C$9*12),107,"")</f>
        <v>107</v>
      </c>
      <c r="B124" s="28">
        <f>IF(A124="","",EDATE($C$10,A124-1))</f>
        <v>49587</v>
      </c>
      <c r="C124" s="29">
        <f>IF(A124="","",D124+E124+F124)</f>
        <v>1199.67</v>
      </c>
      <c r="D124" s="30">
        <f>IF(A124="","",ROUND(G123*$C$8/12,2))</f>
        <v>362.77</v>
      </c>
      <c r="E124" s="30">
        <f>IF(A124="","",IF(A124=($C$9*12),G123,$G$7-D124))</f>
        <v>786.9</v>
      </c>
      <c r="F124" s="30">
        <f>IF(A124="","",$G$8)</f>
        <v>50.0</v>
      </c>
      <c r="G124" s="30">
        <f>IF(A124="","",G123-E124)</f>
        <v>127249.47</v>
      </c>
    </row>
    <row r="125">
      <c r="A125" s="31">
        <f>IF(108&lt;=($C$9*12),108,"")</f>
        <v>108</v>
      </c>
      <c r="B125" s="32">
        <f>IF(A125="","",EDATE($C$10,A125-1))</f>
        <v>49618</v>
      </c>
      <c r="C125" s="33">
        <f>IF(A125="","",D125+E125+F125)</f>
        <v>1199.67</v>
      </c>
      <c r="D125" s="34">
        <f>IF(A125="","",ROUND(G124*$C$8/12,2))</f>
        <v>360.54</v>
      </c>
      <c r="E125" s="34">
        <f>IF(A125="","",IF(A125=($C$9*12),G124,$G$7-D125))</f>
        <v>789.13</v>
      </c>
      <c r="F125" s="34">
        <f>IF(A125="","",$G$8)</f>
        <v>50.0</v>
      </c>
      <c r="G125" s="34">
        <f>IF(A125="","",G124-E125)</f>
        <v>126460.34</v>
      </c>
    </row>
    <row r="126">
      <c r="A126" s="27">
        <f>IF(109&lt;=($C$9*12),109,"")</f>
        <v>109</v>
      </c>
      <c r="B126" s="28">
        <f>IF(A126="","",EDATE($C$10,A126-1))</f>
        <v>49648</v>
      </c>
      <c r="C126" s="29">
        <f>IF(A126="","",D126+E126+F126)</f>
        <v>1199.67</v>
      </c>
      <c r="D126" s="30">
        <f>IF(A126="","",ROUND(G125*$C$8/12,2))</f>
        <v>358.3</v>
      </c>
      <c r="E126" s="30">
        <f>IF(A126="","",IF(A126=($C$9*12),G125,$G$7-D126))</f>
        <v>791.37</v>
      </c>
      <c r="F126" s="30">
        <f>IF(A126="","",$G$8)</f>
        <v>50.0</v>
      </c>
      <c r="G126" s="30">
        <f>IF(A126="","",G125-E126)</f>
        <v>125668.97</v>
      </c>
    </row>
    <row r="127">
      <c r="A127" s="27">
        <f>IF(110&lt;=($C$9*12),110,"")</f>
        <v>110</v>
      </c>
      <c r="B127" s="28">
        <f>IF(A127="","",EDATE($C$10,A127-1))</f>
        <v>49679</v>
      </c>
      <c r="C127" s="29">
        <f>IF(A127="","",D127+E127+F127)</f>
        <v>1199.67</v>
      </c>
      <c r="D127" s="30">
        <f>IF(A127="","",ROUND(G126*$C$8/12,2))</f>
        <v>356.06</v>
      </c>
      <c r="E127" s="30">
        <f>IF(A127="","",IF(A127=($C$9*12),G126,$G$7-D127))</f>
        <v>793.61</v>
      </c>
      <c r="F127" s="30">
        <f>IF(A127="","",$G$8)</f>
        <v>50.0</v>
      </c>
      <c r="G127" s="30">
        <f>IF(A127="","",G126-E127)</f>
        <v>124875.36</v>
      </c>
    </row>
    <row r="128">
      <c r="A128" s="27">
        <f>IF(111&lt;=($C$9*12),111,"")</f>
        <v>111</v>
      </c>
      <c r="B128" s="28">
        <f>IF(A128="","",EDATE($C$10,A128-1))</f>
        <v>49710</v>
      </c>
      <c r="C128" s="29">
        <f>IF(A128="","",D128+E128+F128)</f>
        <v>1199.67</v>
      </c>
      <c r="D128" s="30">
        <f>IF(A128="","",ROUND(G127*$C$8/12,2))</f>
        <v>353.81</v>
      </c>
      <c r="E128" s="30">
        <f>IF(A128="","",IF(A128=($C$9*12),G127,$G$7-D128))</f>
        <v>795.86</v>
      </c>
      <c r="F128" s="30">
        <f>IF(A128="","",$G$8)</f>
        <v>50.0</v>
      </c>
      <c r="G128" s="30">
        <f>IF(A128="","",G127-E128)</f>
        <v>124079.5</v>
      </c>
    </row>
    <row r="129">
      <c r="A129" s="27">
        <f>IF(112&lt;=($C$9*12),112,"")</f>
        <v>112</v>
      </c>
      <c r="B129" s="28">
        <f>IF(A129="","",EDATE($C$10,A129-1))</f>
        <v>49739</v>
      </c>
      <c r="C129" s="29">
        <f>IF(A129="","",D129+E129+F129)</f>
        <v>1199.67</v>
      </c>
      <c r="D129" s="30">
        <f>IF(A129="","",ROUND(G128*$C$8/12,2))</f>
        <v>351.56</v>
      </c>
      <c r="E129" s="30">
        <f>IF(A129="","",IF(A129=($C$9*12),G128,$G$7-D129))</f>
        <v>798.11</v>
      </c>
      <c r="F129" s="30">
        <f>IF(A129="","",$G$8)</f>
        <v>50.0</v>
      </c>
      <c r="G129" s="30">
        <f>IF(A129="","",G128-E129)</f>
        <v>123281.39</v>
      </c>
    </row>
    <row r="130">
      <c r="A130" s="27">
        <f>IF(113&lt;=($C$9*12),113,"")</f>
        <v>113</v>
      </c>
      <c r="B130" s="28">
        <f>IF(A130="","",EDATE($C$10,A130-1))</f>
        <v>49770</v>
      </c>
      <c r="C130" s="29">
        <f>IF(A130="","",D130+E130+F130)</f>
        <v>1199.67</v>
      </c>
      <c r="D130" s="30">
        <f>IF(A130="","",ROUND(G129*$C$8/12,2))</f>
        <v>349.3</v>
      </c>
      <c r="E130" s="30">
        <f>IF(A130="","",IF(A130=($C$9*12),G129,$G$7-D130))</f>
        <v>800.37</v>
      </c>
      <c r="F130" s="30">
        <f>IF(A130="","",$G$8)</f>
        <v>50.0</v>
      </c>
      <c r="G130" s="30">
        <f>IF(A130="","",G129-E130)</f>
        <v>122481.02</v>
      </c>
    </row>
    <row r="131">
      <c r="A131" s="27">
        <f>IF(114&lt;=($C$9*12),114,"")</f>
        <v>114</v>
      </c>
      <c r="B131" s="28">
        <f>IF(A131="","",EDATE($C$10,A131-1))</f>
        <v>49800</v>
      </c>
      <c r="C131" s="29">
        <f>IF(A131="","",D131+E131+F131)</f>
        <v>1199.67</v>
      </c>
      <c r="D131" s="30">
        <f>IF(A131="","",ROUND(G130*$C$8/12,2))</f>
        <v>347.03</v>
      </c>
      <c r="E131" s="30">
        <f>IF(A131="","",IF(A131=($C$9*12),G130,$G$7-D131))</f>
        <v>802.64</v>
      </c>
      <c r="F131" s="30">
        <f>IF(A131="","",$G$8)</f>
        <v>50.0</v>
      </c>
      <c r="G131" s="30">
        <f>IF(A131="","",G130-E131)</f>
        <v>121678.38</v>
      </c>
    </row>
    <row r="132">
      <c r="A132" s="27">
        <f>IF(115&lt;=($C$9*12),115,"")</f>
        <v>115</v>
      </c>
      <c r="B132" s="28">
        <f>IF(A132="","",EDATE($C$10,A132-1))</f>
        <v>49831</v>
      </c>
      <c r="C132" s="29">
        <f>IF(A132="","",D132+E132+F132)</f>
        <v>1199.67</v>
      </c>
      <c r="D132" s="30">
        <f>IF(A132="","",ROUND(G131*$C$8/12,2))</f>
        <v>344.76</v>
      </c>
      <c r="E132" s="30">
        <f>IF(A132="","",IF(A132=($C$9*12),G131,$G$7-D132))</f>
        <v>804.91</v>
      </c>
      <c r="F132" s="30">
        <f>IF(A132="","",$G$8)</f>
        <v>50.0</v>
      </c>
      <c r="G132" s="30">
        <f>IF(A132="","",G131-E132)</f>
        <v>120873.47</v>
      </c>
    </row>
    <row r="133">
      <c r="A133" s="27">
        <f>IF(116&lt;=($C$9*12),116,"")</f>
        <v>116</v>
      </c>
      <c r="B133" s="28">
        <f>IF(A133="","",EDATE($C$10,A133-1))</f>
        <v>49861</v>
      </c>
      <c r="C133" s="29">
        <f>IF(A133="","",D133+E133+F133)</f>
        <v>1199.67</v>
      </c>
      <c r="D133" s="30">
        <f>IF(A133="","",ROUND(G132*$C$8/12,2))</f>
        <v>342.47</v>
      </c>
      <c r="E133" s="30">
        <f>IF(A133="","",IF(A133=($C$9*12),G132,$G$7-D133))</f>
        <v>807.2</v>
      </c>
      <c r="F133" s="30">
        <f>IF(A133="","",$G$8)</f>
        <v>50.0</v>
      </c>
      <c r="G133" s="30">
        <f>IF(A133="","",G132-E133)</f>
        <v>120066.27</v>
      </c>
    </row>
    <row r="134">
      <c r="A134" s="27">
        <f>IF(117&lt;=($C$9*12),117,"")</f>
        <v>117</v>
      </c>
      <c r="B134" s="28">
        <f>IF(A134="","",EDATE($C$10,A134-1))</f>
        <v>49892</v>
      </c>
      <c r="C134" s="29">
        <f>IF(A134="","",D134+E134+F134)</f>
        <v>1199.67</v>
      </c>
      <c r="D134" s="30">
        <f>IF(A134="","",ROUND(G133*$C$8/12,2))</f>
        <v>340.19</v>
      </c>
      <c r="E134" s="30">
        <f>IF(A134="","",IF(A134=($C$9*12),G133,$G$7-D134))</f>
        <v>809.48</v>
      </c>
      <c r="F134" s="30">
        <f>IF(A134="","",$G$8)</f>
        <v>50.0</v>
      </c>
      <c r="G134" s="30">
        <f>IF(A134="","",G133-E134)</f>
        <v>119256.79</v>
      </c>
    </row>
    <row r="135">
      <c r="A135" s="27">
        <f>IF(118&lt;=($C$9*12),118,"")</f>
        <v>118</v>
      </c>
      <c r="B135" s="28">
        <f>IF(A135="","",EDATE($C$10,A135-1))</f>
        <v>49923</v>
      </c>
      <c r="C135" s="29">
        <f>IF(A135="","",D135+E135+F135)</f>
        <v>1199.67</v>
      </c>
      <c r="D135" s="30">
        <f>IF(A135="","",ROUND(G134*$C$8/12,2))</f>
        <v>337.89</v>
      </c>
      <c r="E135" s="30">
        <f>IF(A135="","",IF(A135=($C$9*12),G134,$G$7-D135))</f>
        <v>811.78</v>
      </c>
      <c r="F135" s="30">
        <f>IF(A135="","",$G$8)</f>
        <v>50.0</v>
      </c>
      <c r="G135" s="30">
        <f>IF(A135="","",G134-E135)</f>
        <v>118445.01</v>
      </c>
    </row>
    <row r="136">
      <c r="A136" s="27">
        <f>IF(119&lt;=($C$9*12),119,"")</f>
        <v>119</v>
      </c>
      <c r="B136" s="28">
        <f>IF(A136="","",EDATE($C$10,A136-1))</f>
        <v>49953</v>
      </c>
      <c r="C136" s="29">
        <f>IF(A136="","",D136+E136+F136)</f>
        <v>1199.67</v>
      </c>
      <c r="D136" s="30">
        <f>IF(A136="","",ROUND(G135*$C$8/12,2))</f>
        <v>335.59</v>
      </c>
      <c r="E136" s="30">
        <f>IF(A136="","",IF(A136=($C$9*12),G135,$G$7-D136))</f>
        <v>814.08</v>
      </c>
      <c r="F136" s="30">
        <f>IF(A136="","",$G$8)</f>
        <v>50.0</v>
      </c>
      <c r="G136" s="30">
        <f>IF(A136="","",G135-E136)</f>
        <v>117630.93</v>
      </c>
    </row>
    <row r="137">
      <c r="A137" s="31">
        <f>IF(120&lt;=($C$9*12),120,"")</f>
        <v>120</v>
      </c>
      <c r="B137" s="32">
        <f>IF(A137="","",EDATE($C$10,A137-1))</f>
        <v>49984</v>
      </c>
      <c r="C137" s="33">
        <f>IF(A137="","",D137+E137+F137)</f>
        <v>1199.67</v>
      </c>
      <c r="D137" s="34">
        <f>IF(A137="","",ROUND(G136*$C$8/12,2))</f>
        <v>333.29</v>
      </c>
      <c r="E137" s="34">
        <f>IF(A137="","",IF(A137=($C$9*12),G136,$G$7-D137))</f>
        <v>816.38</v>
      </c>
      <c r="F137" s="34">
        <f>IF(A137="","",$G$8)</f>
        <v>50.0</v>
      </c>
      <c r="G137" s="34">
        <f>IF(A137="","",G136-E137)</f>
        <v>116814.55</v>
      </c>
    </row>
    <row r="138">
      <c r="A138" s="27">
        <f>IF(121&lt;=($C$9*12),121,"")</f>
        <v>121</v>
      </c>
      <c r="B138" s="28">
        <f>IF(A138="","",EDATE($C$10,A138-1))</f>
        <v>50014</v>
      </c>
      <c r="C138" s="29">
        <f>IF(A138="","",D138+E138+F138)</f>
        <v>1199.67</v>
      </c>
      <c r="D138" s="30">
        <f>IF(A138="","",ROUND(G137*$C$8/12,2))</f>
        <v>330.97</v>
      </c>
      <c r="E138" s="30">
        <f>IF(A138="","",IF(A138=($C$9*12),G137,$G$7-D138))</f>
        <v>818.7</v>
      </c>
      <c r="F138" s="30">
        <f>IF(A138="","",$G$8)</f>
        <v>50.0</v>
      </c>
      <c r="G138" s="30">
        <f>IF(A138="","",G137-E138)</f>
        <v>115995.85</v>
      </c>
    </row>
    <row r="139">
      <c r="A139" s="27">
        <f>IF(122&lt;=($C$9*12),122,"")</f>
        <v>122</v>
      </c>
      <c r="B139" s="28">
        <f>IF(A139="","",EDATE($C$10,A139-1))</f>
        <v>50045</v>
      </c>
      <c r="C139" s="29">
        <f>IF(A139="","",D139+E139+F139)</f>
        <v>1199.67</v>
      </c>
      <c r="D139" s="30">
        <f>IF(A139="","",ROUND(G138*$C$8/12,2))</f>
        <v>328.65</v>
      </c>
      <c r="E139" s="30">
        <f>IF(A139="","",IF(A139=($C$9*12),G138,$G$7-D139))</f>
        <v>821.02</v>
      </c>
      <c r="F139" s="30">
        <f>IF(A139="","",$G$8)</f>
        <v>50.0</v>
      </c>
      <c r="G139" s="30">
        <f>IF(A139="","",G138-E139)</f>
        <v>115174.83</v>
      </c>
    </row>
    <row r="140">
      <c r="A140" s="27">
        <f>IF(123&lt;=($C$9*12),123,"")</f>
        <v>123</v>
      </c>
      <c r="B140" s="28">
        <f>IF(A140="","",EDATE($C$10,A140-1))</f>
        <v>50076</v>
      </c>
      <c r="C140" s="29">
        <f>IF(A140="","",D140+E140+F140)</f>
        <v>1199.67</v>
      </c>
      <c r="D140" s="30">
        <f>IF(A140="","",ROUND(G139*$C$8/12,2))</f>
        <v>326.33</v>
      </c>
      <c r="E140" s="30">
        <f>IF(A140="","",IF(A140=($C$9*12),G139,$G$7-D140))</f>
        <v>823.34</v>
      </c>
      <c r="F140" s="30">
        <f>IF(A140="","",$G$8)</f>
        <v>50.0</v>
      </c>
      <c r="G140" s="30">
        <f>IF(A140="","",G139-E140)</f>
        <v>114351.49</v>
      </c>
    </row>
    <row r="141">
      <c r="A141" s="27">
        <f>IF(124&lt;=($C$9*12),124,"")</f>
        <v>124</v>
      </c>
      <c r="B141" s="28">
        <f>IF(A141="","",EDATE($C$10,A141-1))</f>
        <v>50104</v>
      </c>
      <c r="C141" s="29">
        <f>IF(A141="","",D141+E141+F141)</f>
        <v>1199.67</v>
      </c>
      <c r="D141" s="30">
        <f>IF(A141="","",ROUND(G140*$C$8/12,2))</f>
        <v>324.0</v>
      </c>
      <c r="E141" s="30">
        <f>IF(A141="","",IF(A141=($C$9*12),G140,$G$7-D141))</f>
        <v>825.67</v>
      </c>
      <c r="F141" s="30">
        <f>IF(A141="","",$G$8)</f>
        <v>50.0</v>
      </c>
      <c r="G141" s="30">
        <f>IF(A141="","",G140-E141)</f>
        <v>113525.82</v>
      </c>
    </row>
    <row r="142">
      <c r="A142" s="27">
        <f>IF(125&lt;=($C$9*12),125,"")</f>
        <v>125</v>
      </c>
      <c r="B142" s="28">
        <f>IF(A142="","",EDATE($C$10,A142-1))</f>
        <v>50135</v>
      </c>
      <c r="C142" s="29">
        <f>IF(A142="","",D142+E142+F142)</f>
        <v>1199.67</v>
      </c>
      <c r="D142" s="30">
        <f>IF(A142="","",ROUND(G141*$C$8/12,2))</f>
        <v>321.66</v>
      </c>
      <c r="E142" s="30">
        <f>IF(A142="","",IF(A142=($C$9*12),G141,$G$7-D142))</f>
        <v>828.01</v>
      </c>
      <c r="F142" s="30">
        <f>IF(A142="","",$G$8)</f>
        <v>50.0</v>
      </c>
      <c r="G142" s="30">
        <f>IF(A142="","",G141-E142)</f>
        <v>112697.81</v>
      </c>
    </row>
    <row r="143">
      <c r="A143" s="27">
        <f>IF(126&lt;=($C$9*12),126,"")</f>
        <v>126</v>
      </c>
      <c r="B143" s="28">
        <f>IF(A143="","",EDATE($C$10,A143-1))</f>
        <v>50165</v>
      </c>
      <c r="C143" s="29">
        <f>IF(A143="","",D143+E143+F143)</f>
        <v>1199.67</v>
      </c>
      <c r="D143" s="30">
        <f>IF(A143="","",ROUND(G142*$C$8/12,2))</f>
        <v>319.31</v>
      </c>
      <c r="E143" s="30">
        <f>IF(A143="","",IF(A143=($C$9*12),G142,$G$7-D143))</f>
        <v>830.36</v>
      </c>
      <c r="F143" s="30">
        <f>IF(A143="","",$G$8)</f>
        <v>50.0</v>
      </c>
      <c r="G143" s="30">
        <f>IF(A143="","",G142-E143)</f>
        <v>111867.45</v>
      </c>
    </row>
    <row r="144">
      <c r="A144" s="27">
        <f>IF(127&lt;=($C$9*12),127,"")</f>
        <v>127</v>
      </c>
      <c r="B144" s="28">
        <f>IF(A144="","",EDATE($C$10,A144-1))</f>
        <v>50196</v>
      </c>
      <c r="C144" s="29">
        <f>IF(A144="","",D144+E144+F144)</f>
        <v>1199.67</v>
      </c>
      <c r="D144" s="30">
        <f>IF(A144="","",ROUND(G143*$C$8/12,2))</f>
        <v>316.96</v>
      </c>
      <c r="E144" s="30">
        <f>IF(A144="","",IF(A144=($C$9*12),G143,$G$7-D144))</f>
        <v>832.71</v>
      </c>
      <c r="F144" s="30">
        <f>IF(A144="","",$G$8)</f>
        <v>50.0</v>
      </c>
      <c r="G144" s="30">
        <f>IF(A144="","",G143-E144)</f>
        <v>111034.74</v>
      </c>
    </row>
    <row r="145">
      <c r="A145" s="27">
        <f>IF(128&lt;=($C$9*12),128,"")</f>
        <v>128</v>
      </c>
      <c r="B145" s="28">
        <f>IF(A145="","",EDATE($C$10,A145-1))</f>
        <v>50226</v>
      </c>
      <c r="C145" s="29">
        <f>IF(A145="","",D145+E145+F145)</f>
        <v>1199.67</v>
      </c>
      <c r="D145" s="30">
        <f>IF(A145="","",ROUND(G144*$C$8/12,2))</f>
        <v>314.6</v>
      </c>
      <c r="E145" s="30">
        <f>IF(A145="","",IF(A145=($C$9*12),G144,$G$7-D145))</f>
        <v>835.07</v>
      </c>
      <c r="F145" s="30">
        <f>IF(A145="","",$G$8)</f>
        <v>50.0</v>
      </c>
      <c r="G145" s="30">
        <f>IF(A145="","",G144-E145)</f>
        <v>110199.67</v>
      </c>
    </row>
    <row r="146">
      <c r="A146" s="27">
        <f>IF(129&lt;=($C$9*12),129,"")</f>
        <v>129</v>
      </c>
      <c r="B146" s="28">
        <f>IF(A146="","",EDATE($C$10,A146-1))</f>
        <v>50257</v>
      </c>
      <c r="C146" s="29">
        <f>IF(A146="","",D146+E146+F146)</f>
        <v>1199.67</v>
      </c>
      <c r="D146" s="30">
        <f>IF(A146="","",ROUND(G145*$C$8/12,2))</f>
        <v>312.23</v>
      </c>
      <c r="E146" s="30">
        <f>IF(A146="","",IF(A146=($C$9*12),G145,$G$7-D146))</f>
        <v>837.44</v>
      </c>
      <c r="F146" s="30">
        <f>IF(A146="","",$G$8)</f>
        <v>50.0</v>
      </c>
      <c r="G146" s="30">
        <f>IF(A146="","",G145-E146)</f>
        <v>109362.23</v>
      </c>
    </row>
    <row r="147">
      <c r="A147" s="27">
        <f>IF(130&lt;=($C$9*12),130,"")</f>
        <v>130</v>
      </c>
      <c r="B147" s="28">
        <f>IF(A147="","",EDATE($C$10,A147-1))</f>
        <v>50288</v>
      </c>
      <c r="C147" s="29">
        <f>IF(A147="","",D147+E147+F147)</f>
        <v>1199.67</v>
      </c>
      <c r="D147" s="30">
        <f>IF(A147="","",ROUND(G146*$C$8/12,2))</f>
        <v>309.86</v>
      </c>
      <c r="E147" s="30">
        <f>IF(A147="","",IF(A147=($C$9*12),G146,$G$7-D147))</f>
        <v>839.81</v>
      </c>
      <c r="F147" s="30">
        <f>IF(A147="","",$G$8)</f>
        <v>50.0</v>
      </c>
      <c r="G147" s="30">
        <f>IF(A147="","",G146-E147)</f>
        <v>108522.42</v>
      </c>
    </row>
    <row r="148">
      <c r="A148" s="27">
        <f>IF(131&lt;=($C$9*12),131,"")</f>
        <v>131</v>
      </c>
      <c r="B148" s="28">
        <f>IF(A148="","",EDATE($C$10,A148-1))</f>
        <v>50318</v>
      </c>
      <c r="C148" s="29">
        <f>IF(A148="","",D148+E148+F148)</f>
        <v>1199.67</v>
      </c>
      <c r="D148" s="30">
        <f>IF(A148="","",ROUND(G147*$C$8/12,2))</f>
        <v>307.48</v>
      </c>
      <c r="E148" s="30">
        <f>IF(A148="","",IF(A148=($C$9*12),G147,$G$7-D148))</f>
        <v>842.19</v>
      </c>
      <c r="F148" s="30">
        <f>IF(A148="","",$G$8)</f>
        <v>50.0</v>
      </c>
      <c r="G148" s="30">
        <f>IF(A148="","",G147-E148)</f>
        <v>107680.23</v>
      </c>
    </row>
    <row r="149">
      <c r="A149" s="31">
        <f>IF(132&lt;=($C$9*12),132,"")</f>
        <v>132</v>
      </c>
      <c r="B149" s="32">
        <f>IF(A149="","",EDATE($C$10,A149-1))</f>
        <v>50349</v>
      </c>
      <c r="C149" s="33">
        <f>IF(A149="","",D149+E149+F149)</f>
        <v>1199.67</v>
      </c>
      <c r="D149" s="34">
        <f>IF(A149="","",ROUND(G148*$C$8/12,2))</f>
        <v>305.09</v>
      </c>
      <c r="E149" s="34">
        <f>IF(A149="","",IF(A149=($C$9*12),G148,$G$7-D149))</f>
        <v>844.58</v>
      </c>
      <c r="F149" s="34">
        <f>IF(A149="","",$G$8)</f>
        <v>50.0</v>
      </c>
      <c r="G149" s="34">
        <f>IF(A149="","",G148-E149)</f>
        <v>106835.65</v>
      </c>
    </row>
    <row r="150">
      <c r="A150" s="27">
        <f>IF(133&lt;=($C$9*12),133,"")</f>
        <v>133</v>
      </c>
      <c r="B150" s="28">
        <f>IF(A150="","",EDATE($C$10,A150-1))</f>
        <v>50379</v>
      </c>
      <c r="C150" s="29">
        <f>IF(A150="","",D150+E150+F150)</f>
        <v>1199.67</v>
      </c>
      <c r="D150" s="30">
        <f>IF(A150="","",ROUND(G149*$C$8/12,2))</f>
        <v>302.7</v>
      </c>
      <c r="E150" s="30">
        <f>IF(A150="","",IF(A150=($C$9*12),G149,$G$7-D150))</f>
        <v>846.97</v>
      </c>
      <c r="F150" s="30">
        <f>IF(A150="","",$G$8)</f>
        <v>50.0</v>
      </c>
      <c r="G150" s="30">
        <f>IF(A150="","",G149-E150)</f>
        <v>105988.68</v>
      </c>
    </row>
    <row r="151">
      <c r="A151" s="27">
        <f>IF(134&lt;=($C$9*12),134,"")</f>
        <v>134</v>
      </c>
      <c r="B151" s="28">
        <f>IF(A151="","",EDATE($C$10,A151-1))</f>
        <v>50410</v>
      </c>
      <c r="C151" s="29">
        <f>IF(A151="","",D151+E151+F151)</f>
        <v>1199.67</v>
      </c>
      <c r="D151" s="30">
        <f>IF(A151="","",ROUND(G150*$C$8/12,2))</f>
        <v>300.3</v>
      </c>
      <c r="E151" s="30">
        <f>IF(A151="","",IF(A151=($C$9*12),G150,$G$7-D151))</f>
        <v>849.37</v>
      </c>
      <c r="F151" s="30">
        <f>IF(A151="","",$G$8)</f>
        <v>50.0</v>
      </c>
      <c r="G151" s="30">
        <f>IF(A151="","",G150-E151)</f>
        <v>105139.31</v>
      </c>
    </row>
    <row r="152">
      <c r="A152" s="27">
        <f>IF(135&lt;=($C$9*12),135,"")</f>
        <v>135</v>
      </c>
      <c r="B152" s="28">
        <f>IF(A152="","",EDATE($C$10,A152-1))</f>
        <v>50441</v>
      </c>
      <c r="C152" s="29">
        <f>IF(A152="","",D152+E152+F152)</f>
        <v>1199.67</v>
      </c>
      <c r="D152" s="30">
        <f>IF(A152="","",ROUND(G151*$C$8/12,2))</f>
        <v>297.89</v>
      </c>
      <c r="E152" s="30">
        <f>IF(A152="","",IF(A152=($C$9*12),G151,$G$7-D152))</f>
        <v>851.78</v>
      </c>
      <c r="F152" s="30">
        <f>IF(A152="","",$G$8)</f>
        <v>50.0</v>
      </c>
      <c r="G152" s="30">
        <f>IF(A152="","",G151-E152)</f>
        <v>104287.53</v>
      </c>
    </row>
    <row r="153">
      <c r="A153" s="27">
        <f>IF(136&lt;=($C$9*12),136,"")</f>
        <v>136</v>
      </c>
      <c r="B153" s="28">
        <f>IF(A153="","",EDATE($C$10,A153-1))</f>
        <v>50469</v>
      </c>
      <c r="C153" s="29">
        <f>IF(A153="","",D153+E153+F153)</f>
        <v>1199.67</v>
      </c>
      <c r="D153" s="30">
        <f>IF(A153="","",ROUND(G152*$C$8/12,2))</f>
        <v>295.48</v>
      </c>
      <c r="E153" s="30">
        <f>IF(A153="","",IF(A153=($C$9*12),G152,$G$7-D153))</f>
        <v>854.19</v>
      </c>
      <c r="F153" s="30">
        <f>IF(A153="","",$G$8)</f>
        <v>50.0</v>
      </c>
      <c r="G153" s="30">
        <f>IF(A153="","",G152-E153)</f>
        <v>103433.34</v>
      </c>
    </row>
    <row r="154">
      <c r="A154" s="27">
        <f>IF(137&lt;=($C$9*12),137,"")</f>
        <v>137</v>
      </c>
      <c r="B154" s="28">
        <f>IF(A154="","",EDATE($C$10,A154-1))</f>
        <v>50500</v>
      </c>
      <c r="C154" s="29">
        <f>IF(A154="","",D154+E154+F154)</f>
        <v>1199.67</v>
      </c>
      <c r="D154" s="30">
        <f>IF(A154="","",ROUND(G153*$C$8/12,2))</f>
        <v>293.06</v>
      </c>
      <c r="E154" s="30">
        <f>IF(A154="","",IF(A154=($C$9*12),G153,$G$7-D154))</f>
        <v>856.61</v>
      </c>
      <c r="F154" s="30">
        <f>IF(A154="","",$G$8)</f>
        <v>50.0</v>
      </c>
      <c r="G154" s="30">
        <f>IF(A154="","",G153-E154)</f>
        <v>102576.73</v>
      </c>
    </row>
    <row r="155">
      <c r="A155" s="27">
        <f>IF(138&lt;=($C$9*12),138,"")</f>
        <v>138</v>
      </c>
      <c r="B155" s="28">
        <f>IF(A155="","",EDATE($C$10,A155-1))</f>
        <v>50530</v>
      </c>
      <c r="C155" s="29">
        <f>IF(A155="","",D155+E155+F155)</f>
        <v>1199.67</v>
      </c>
      <c r="D155" s="30">
        <f>IF(A155="","",ROUND(G154*$C$8/12,2))</f>
        <v>290.63</v>
      </c>
      <c r="E155" s="30">
        <f>IF(A155="","",IF(A155=($C$9*12),G154,$G$7-D155))</f>
        <v>859.04</v>
      </c>
      <c r="F155" s="30">
        <f>IF(A155="","",$G$8)</f>
        <v>50.0</v>
      </c>
      <c r="G155" s="30">
        <f>IF(A155="","",G154-E155)</f>
        <v>101717.69</v>
      </c>
    </row>
    <row r="156">
      <c r="A156" s="27">
        <f>IF(139&lt;=($C$9*12),139,"")</f>
        <v>139</v>
      </c>
      <c r="B156" s="28">
        <f>IF(A156="","",EDATE($C$10,A156-1))</f>
        <v>50561</v>
      </c>
      <c r="C156" s="29">
        <f>IF(A156="","",D156+E156+F156)</f>
        <v>1199.67</v>
      </c>
      <c r="D156" s="30">
        <f>IF(A156="","",ROUND(G155*$C$8/12,2))</f>
        <v>288.2</v>
      </c>
      <c r="E156" s="30">
        <f>IF(A156="","",IF(A156=($C$9*12),G155,$G$7-D156))</f>
        <v>861.47</v>
      </c>
      <c r="F156" s="30">
        <f>IF(A156="","",$G$8)</f>
        <v>50.0</v>
      </c>
      <c r="G156" s="30">
        <f>IF(A156="","",G155-E156)</f>
        <v>100856.22</v>
      </c>
    </row>
    <row r="157">
      <c r="A157" s="27">
        <f>IF(140&lt;=($C$9*12),140,"")</f>
        <v>140</v>
      </c>
      <c r="B157" s="28">
        <f>IF(A157="","",EDATE($C$10,A157-1))</f>
        <v>50591</v>
      </c>
      <c r="C157" s="29">
        <f>IF(A157="","",D157+E157+F157)</f>
        <v>1199.67</v>
      </c>
      <c r="D157" s="30">
        <f>IF(A157="","",ROUND(G156*$C$8/12,2))</f>
        <v>285.76</v>
      </c>
      <c r="E157" s="30">
        <f>IF(A157="","",IF(A157=($C$9*12),G156,$G$7-D157))</f>
        <v>863.91</v>
      </c>
      <c r="F157" s="30">
        <f>IF(A157="","",$G$8)</f>
        <v>50.0</v>
      </c>
      <c r="G157" s="30">
        <f>IF(A157="","",G156-E157)</f>
        <v>99992.31</v>
      </c>
    </row>
    <row r="158">
      <c r="A158" s="27">
        <f>IF(141&lt;=($C$9*12),141,"")</f>
        <v>141</v>
      </c>
      <c r="B158" s="28">
        <f>IF(A158="","",EDATE($C$10,A158-1))</f>
        <v>50622</v>
      </c>
      <c r="C158" s="29">
        <f>IF(A158="","",D158+E158+F158)</f>
        <v>1199.67</v>
      </c>
      <c r="D158" s="30">
        <f>IF(A158="","",ROUND(G157*$C$8/12,2))</f>
        <v>283.31</v>
      </c>
      <c r="E158" s="30">
        <f>IF(A158="","",IF(A158=($C$9*12),G157,$G$7-D158))</f>
        <v>866.36</v>
      </c>
      <c r="F158" s="30">
        <f>IF(A158="","",$G$8)</f>
        <v>50.0</v>
      </c>
      <c r="G158" s="30">
        <f>IF(A158="","",G157-E158)</f>
        <v>99125.95</v>
      </c>
    </row>
    <row r="159">
      <c r="A159" s="27">
        <f>IF(142&lt;=($C$9*12),142,"")</f>
        <v>142</v>
      </c>
      <c r="B159" s="28">
        <f>IF(A159="","",EDATE($C$10,A159-1))</f>
        <v>50653</v>
      </c>
      <c r="C159" s="29">
        <f>IF(A159="","",D159+E159+F159)</f>
        <v>1199.67</v>
      </c>
      <c r="D159" s="30">
        <f>IF(A159="","",ROUND(G158*$C$8/12,2))</f>
        <v>280.86</v>
      </c>
      <c r="E159" s="30">
        <f>IF(A159="","",IF(A159=($C$9*12),G158,$G$7-D159))</f>
        <v>868.81</v>
      </c>
      <c r="F159" s="30">
        <f>IF(A159="","",$G$8)</f>
        <v>50.0</v>
      </c>
      <c r="G159" s="30">
        <f>IF(A159="","",G158-E159)</f>
        <v>98257.14</v>
      </c>
    </row>
    <row r="160">
      <c r="A160" s="27">
        <f>IF(143&lt;=($C$9*12),143,"")</f>
        <v>143</v>
      </c>
      <c r="B160" s="28">
        <f>IF(A160="","",EDATE($C$10,A160-1))</f>
        <v>50683</v>
      </c>
      <c r="C160" s="29">
        <f>IF(A160="","",D160+E160+F160)</f>
        <v>1199.67</v>
      </c>
      <c r="D160" s="30">
        <f>IF(A160="","",ROUND(G159*$C$8/12,2))</f>
        <v>278.4</v>
      </c>
      <c r="E160" s="30">
        <f>IF(A160="","",IF(A160=($C$9*12),G159,$G$7-D160))</f>
        <v>871.27</v>
      </c>
      <c r="F160" s="30">
        <f>IF(A160="","",$G$8)</f>
        <v>50.0</v>
      </c>
      <c r="G160" s="30">
        <f>IF(A160="","",G159-E160)</f>
        <v>97385.87</v>
      </c>
    </row>
    <row r="161">
      <c r="A161" s="31">
        <f>IF(144&lt;=($C$9*12),144,"")</f>
        <v>144</v>
      </c>
      <c r="B161" s="32">
        <f>IF(A161="","",EDATE($C$10,A161-1))</f>
        <v>50714</v>
      </c>
      <c r="C161" s="33">
        <f>IF(A161="","",D161+E161+F161)</f>
        <v>1199.67</v>
      </c>
      <c r="D161" s="34">
        <f>IF(A161="","",ROUND(G160*$C$8/12,2))</f>
        <v>275.93</v>
      </c>
      <c r="E161" s="34">
        <f>IF(A161="","",IF(A161=($C$9*12),G160,$G$7-D161))</f>
        <v>873.74</v>
      </c>
      <c r="F161" s="34">
        <f>IF(A161="","",$G$8)</f>
        <v>50.0</v>
      </c>
      <c r="G161" s="34">
        <f>IF(A161="","",G160-E161)</f>
        <v>96512.13</v>
      </c>
    </row>
    <row r="162">
      <c r="A162" s="27">
        <f>IF(145&lt;=($C$9*12),145,"")</f>
        <v>145</v>
      </c>
      <c r="B162" s="28">
        <f>IF(A162="","",EDATE($C$10,A162-1))</f>
        <v>50744</v>
      </c>
      <c r="C162" s="29">
        <f>IF(A162="","",D162+E162+F162)</f>
        <v>1199.67</v>
      </c>
      <c r="D162" s="30">
        <f>IF(A162="","",ROUND(G161*$C$8/12,2))</f>
        <v>273.45</v>
      </c>
      <c r="E162" s="30">
        <f>IF(A162="","",IF(A162=($C$9*12),G161,$G$7-D162))</f>
        <v>876.22</v>
      </c>
      <c r="F162" s="30">
        <f>IF(A162="","",$G$8)</f>
        <v>50.0</v>
      </c>
      <c r="G162" s="30">
        <f>IF(A162="","",G161-E162)</f>
        <v>95635.91</v>
      </c>
    </row>
    <row r="163">
      <c r="A163" s="27">
        <f>IF(146&lt;=($C$9*12),146,"")</f>
        <v>146</v>
      </c>
      <c r="B163" s="28">
        <f>IF(A163="","",EDATE($C$10,A163-1))</f>
        <v>50775</v>
      </c>
      <c r="C163" s="29">
        <f>IF(A163="","",D163+E163+F163)</f>
        <v>1199.67</v>
      </c>
      <c r="D163" s="30">
        <f>IF(A163="","",ROUND(G162*$C$8/12,2))</f>
        <v>270.97</v>
      </c>
      <c r="E163" s="30">
        <f>IF(A163="","",IF(A163=($C$9*12),G162,$G$7-D163))</f>
        <v>878.7</v>
      </c>
      <c r="F163" s="30">
        <f>IF(A163="","",$G$8)</f>
        <v>50.0</v>
      </c>
      <c r="G163" s="30">
        <f>IF(A163="","",G162-E163)</f>
        <v>94757.21</v>
      </c>
    </row>
    <row r="164">
      <c r="A164" s="27">
        <f>IF(147&lt;=($C$9*12),147,"")</f>
        <v>147</v>
      </c>
      <c r="B164" s="28">
        <f>IF(A164="","",EDATE($C$10,A164-1))</f>
        <v>50806</v>
      </c>
      <c r="C164" s="29">
        <f>IF(A164="","",D164+E164+F164)</f>
        <v>1199.67</v>
      </c>
      <c r="D164" s="30">
        <f>IF(A164="","",ROUND(G163*$C$8/12,2))</f>
        <v>268.48</v>
      </c>
      <c r="E164" s="30">
        <f>IF(A164="","",IF(A164=($C$9*12),G163,$G$7-D164))</f>
        <v>881.19</v>
      </c>
      <c r="F164" s="30">
        <f>IF(A164="","",$G$8)</f>
        <v>50.0</v>
      </c>
      <c r="G164" s="30">
        <f>IF(A164="","",G163-E164)</f>
        <v>93876.02</v>
      </c>
    </row>
    <row r="165">
      <c r="A165" s="27">
        <f>IF(148&lt;=($C$9*12),148,"")</f>
        <v>148</v>
      </c>
      <c r="B165" s="28">
        <f>IF(A165="","",EDATE($C$10,A165-1))</f>
        <v>50834</v>
      </c>
      <c r="C165" s="29">
        <f>IF(A165="","",D165+E165+F165)</f>
        <v>1199.67</v>
      </c>
      <c r="D165" s="30">
        <f>IF(A165="","",ROUND(G164*$C$8/12,2))</f>
        <v>265.98</v>
      </c>
      <c r="E165" s="30">
        <f>IF(A165="","",IF(A165=($C$9*12),G164,$G$7-D165))</f>
        <v>883.69</v>
      </c>
      <c r="F165" s="30">
        <f>IF(A165="","",$G$8)</f>
        <v>50.0</v>
      </c>
      <c r="G165" s="30">
        <f>IF(A165="","",G164-E165)</f>
        <v>92992.33</v>
      </c>
    </row>
    <row r="166">
      <c r="A166" s="27">
        <f>IF(149&lt;=($C$9*12),149,"")</f>
        <v>149</v>
      </c>
      <c r="B166" s="28">
        <f>IF(A166="","",EDATE($C$10,A166-1))</f>
        <v>50865</v>
      </c>
      <c r="C166" s="29">
        <f>IF(A166="","",D166+E166+F166)</f>
        <v>1199.67</v>
      </c>
      <c r="D166" s="30">
        <f>IF(A166="","",ROUND(G165*$C$8/12,2))</f>
        <v>263.48</v>
      </c>
      <c r="E166" s="30">
        <f>IF(A166="","",IF(A166=($C$9*12),G165,$G$7-D166))</f>
        <v>886.19</v>
      </c>
      <c r="F166" s="30">
        <f>IF(A166="","",$G$8)</f>
        <v>50.0</v>
      </c>
      <c r="G166" s="30">
        <f>IF(A166="","",G165-E166)</f>
        <v>92106.14</v>
      </c>
    </row>
    <row r="167">
      <c r="A167" s="27">
        <f>IF(150&lt;=($C$9*12),150,"")</f>
        <v>150</v>
      </c>
      <c r="B167" s="28">
        <f>IF(A167="","",EDATE($C$10,A167-1))</f>
        <v>50895</v>
      </c>
      <c r="C167" s="29">
        <f>IF(A167="","",D167+E167+F167)</f>
        <v>1199.67</v>
      </c>
      <c r="D167" s="30">
        <f>IF(A167="","",ROUND(G166*$C$8/12,2))</f>
        <v>260.97</v>
      </c>
      <c r="E167" s="30">
        <f>IF(A167="","",IF(A167=($C$9*12),G166,$G$7-D167))</f>
        <v>888.7</v>
      </c>
      <c r="F167" s="30">
        <f>IF(A167="","",$G$8)</f>
        <v>50.0</v>
      </c>
      <c r="G167" s="30">
        <f>IF(A167="","",G166-E167)</f>
        <v>91217.44</v>
      </c>
    </row>
    <row r="168">
      <c r="A168" s="27">
        <f>IF(151&lt;=($C$9*12),151,"")</f>
        <v>151</v>
      </c>
      <c r="B168" s="28">
        <f>IF(A168="","",EDATE($C$10,A168-1))</f>
        <v>50926</v>
      </c>
      <c r="C168" s="29">
        <f>IF(A168="","",D168+E168+F168)</f>
        <v>1199.67</v>
      </c>
      <c r="D168" s="30">
        <f>IF(A168="","",ROUND(G167*$C$8/12,2))</f>
        <v>258.45</v>
      </c>
      <c r="E168" s="30">
        <f>IF(A168="","",IF(A168=($C$9*12),G167,$G$7-D168))</f>
        <v>891.22</v>
      </c>
      <c r="F168" s="30">
        <f>IF(A168="","",$G$8)</f>
        <v>50.0</v>
      </c>
      <c r="G168" s="30">
        <f>IF(A168="","",G167-E168)</f>
        <v>90326.22</v>
      </c>
    </row>
    <row r="169">
      <c r="A169" s="27">
        <f>IF(152&lt;=($C$9*12),152,"")</f>
        <v>152</v>
      </c>
      <c r="B169" s="28">
        <f>IF(A169="","",EDATE($C$10,A169-1))</f>
        <v>50956</v>
      </c>
      <c r="C169" s="29">
        <f>IF(A169="","",D169+E169+F169)</f>
        <v>1199.67</v>
      </c>
      <c r="D169" s="30">
        <f>IF(A169="","",ROUND(G168*$C$8/12,2))</f>
        <v>255.92</v>
      </c>
      <c r="E169" s="30">
        <f>IF(A169="","",IF(A169=($C$9*12),G168,$G$7-D169))</f>
        <v>893.75</v>
      </c>
      <c r="F169" s="30">
        <f>IF(A169="","",$G$8)</f>
        <v>50.0</v>
      </c>
      <c r="G169" s="30">
        <f>IF(A169="","",G168-E169)</f>
        <v>89432.47</v>
      </c>
    </row>
    <row r="170">
      <c r="A170" s="27">
        <f>IF(153&lt;=($C$9*12),153,"")</f>
        <v>153</v>
      </c>
      <c r="B170" s="28">
        <f>IF(A170="","",EDATE($C$10,A170-1))</f>
        <v>50987</v>
      </c>
      <c r="C170" s="29">
        <f>IF(A170="","",D170+E170+F170)</f>
        <v>1199.67</v>
      </c>
      <c r="D170" s="30">
        <f>IF(A170="","",ROUND(G169*$C$8/12,2))</f>
        <v>253.39</v>
      </c>
      <c r="E170" s="30">
        <f>IF(A170="","",IF(A170=($C$9*12),G169,$G$7-D170))</f>
        <v>896.28</v>
      </c>
      <c r="F170" s="30">
        <f>IF(A170="","",$G$8)</f>
        <v>50.0</v>
      </c>
      <c r="G170" s="30">
        <f>IF(A170="","",G169-E170)</f>
        <v>88536.19</v>
      </c>
    </row>
    <row r="171">
      <c r="A171" s="27">
        <f>IF(154&lt;=($C$9*12),154,"")</f>
        <v>154</v>
      </c>
      <c r="B171" s="28">
        <f>IF(A171="","",EDATE($C$10,A171-1))</f>
        <v>51018</v>
      </c>
      <c r="C171" s="29">
        <f>IF(A171="","",D171+E171+F171)</f>
        <v>1199.67</v>
      </c>
      <c r="D171" s="30">
        <f>IF(A171="","",ROUND(G170*$C$8/12,2))</f>
        <v>250.85</v>
      </c>
      <c r="E171" s="30">
        <f>IF(A171="","",IF(A171=($C$9*12),G170,$G$7-D171))</f>
        <v>898.82</v>
      </c>
      <c r="F171" s="30">
        <f>IF(A171="","",$G$8)</f>
        <v>50.0</v>
      </c>
      <c r="G171" s="30">
        <f>IF(A171="","",G170-E171)</f>
        <v>87637.37</v>
      </c>
    </row>
    <row r="172">
      <c r="A172" s="27">
        <f>IF(155&lt;=($C$9*12),155,"")</f>
        <v>155</v>
      </c>
      <c r="B172" s="28">
        <f>IF(A172="","",EDATE($C$10,A172-1))</f>
        <v>51048</v>
      </c>
      <c r="C172" s="29">
        <f>IF(A172="","",D172+E172+F172)</f>
        <v>1199.67</v>
      </c>
      <c r="D172" s="30">
        <f>IF(A172="","",ROUND(G171*$C$8/12,2))</f>
        <v>248.31</v>
      </c>
      <c r="E172" s="30">
        <f>IF(A172="","",IF(A172=($C$9*12),G171,$G$7-D172))</f>
        <v>901.36</v>
      </c>
      <c r="F172" s="30">
        <f>IF(A172="","",$G$8)</f>
        <v>50.0</v>
      </c>
      <c r="G172" s="30">
        <f>IF(A172="","",G171-E172)</f>
        <v>86736.01</v>
      </c>
    </row>
    <row r="173">
      <c r="A173" s="31">
        <f>IF(156&lt;=($C$9*12),156,"")</f>
        <v>156</v>
      </c>
      <c r="B173" s="32">
        <f>IF(A173="","",EDATE($C$10,A173-1))</f>
        <v>51079</v>
      </c>
      <c r="C173" s="33">
        <f>IF(A173="","",D173+E173+F173)</f>
        <v>1199.67</v>
      </c>
      <c r="D173" s="34">
        <f>IF(A173="","",ROUND(G172*$C$8/12,2))</f>
        <v>245.75</v>
      </c>
      <c r="E173" s="34">
        <f>IF(A173="","",IF(A173=($C$9*12),G172,$G$7-D173))</f>
        <v>903.92</v>
      </c>
      <c r="F173" s="34">
        <f>IF(A173="","",$G$8)</f>
        <v>50.0</v>
      </c>
      <c r="G173" s="34">
        <f>IF(A173="","",G172-E173)</f>
        <v>85832.09</v>
      </c>
    </row>
    <row r="174">
      <c r="A174" s="27">
        <f>IF(157&lt;=($C$9*12),157,"")</f>
        <v>157</v>
      </c>
      <c r="B174" s="28">
        <f>IF(A174="","",EDATE($C$10,A174-1))</f>
        <v>51109</v>
      </c>
      <c r="C174" s="29">
        <f>IF(A174="","",D174+E174+F174)</f>
        <v>1199.67</v>
      </c>
      <c r="D174" s="30">
        <f>IF(A174="","",ROUND(G173*$C$8/12,2))</f>
        <v>243.19</v>
      </c>
      <c r="E174" s="30">
        <f>IF(A174="","",IF(A174=($C$9*12),G173,$G$7-D174))</f>
        <v>906.48</v>
      </c>
      <c r="F174" s="30">
        <f>IF(A174="","",$G$8)</f>
        <v>50.0</v>
      </c>
      <c r="G174" s="30">
        <f>IF(A174="","",G173-E174)</f>
        <v>84925.61</v>
      </c>
    </row>
    <row r="175">
      <c r="A175" s="27">
        <f>IF(158&lt;=($C$9*12),158,"")</f>
        <v>158</v>
      </c>
      <c r="B175" s="28">
        <f>IF(A175="","",EDATE($C$10,A175-1))</f>
        <v>51140</v>
      </c>
      <c r="C175" s="29">
        <f>IF(A175="","",D175+E175+F175)</f>
        <v>1199.67</v>
      </c>
      <c r="D175" s="30">
        <f>IF(A175="","",ROUND(G174*$C$8/12,2))</f>
        <v>240.62</v>
      </c>
      <c r="E175" s="30">
        <f>IF(A175="","",IF(A175=($C$9*12),G174,$G$7-D175))</f>
        <v>909.05</v>
      </c>
      <c r="F175" s="30">
        <f>IF(A175="","",$G$8)</f>
        <v>50.0</v>
      </c>
      <c r="G175" s="30">
        <f>IF(A175="","",G174-E175)</f>
        <v>84016.56</v>
      </c>
    </row>
    <row r="176">
      <c r="A176" s="27">
        <f>IF(159&lt;=($C$9*12),159,"")</f>
        <v>159</v>
      </c>
      <c r="B176" s="28">
        <f>IF(A176="","",EDATE($C$10,A176-1))</f>
        <v>51171</v>
      </c>
      <c r="C176" s="29">
        <f>IF(A176="","",D176+E176+F176)</f>
        <v>1199.67</v>
      </c>
      <c r="D176" s="30">
        <f>IF(A176="","",ROUND(G175*$C$8/12,2))</f>
        <v>238.05</v>
      </c>
      <c r="E176" s="30">
        <f>IF(A176="","",IF(A176=($C$9*12),G175,$G$7-D176))</f>
        <v>911.62</v>
      </c>
      <c r="F176" s="30">
        <f>IF(A176="","",$G$8)</f>
        <v>50.0</v>
      </c>
      <c r="G176" s="30">
        <f>IF(A176="","",G175-E176)</f>
        <v>83104.94</v>
      </c>
    </row>
    <row r="177">
      <c r="A177" s="27">
        <f>IF(160&lt;=($C$9*12),160,"")</f>
        <v>160</v>
      </c>
      <c r="B177" s="28">
        <f>IF(A177="","",EDATE($C$10,A177-1))</f>
        <v>51200</v>
      </c>
      <c r="C177" s="29">
        <f>IF(A177="","",D177+E177+F177)</f>
        <v>1199.67</v>
      </c>
      <c r="D177" s="30">
        <f>IF(A177="","",ROUND(G176*$C$8/12,2))</f>
        <v>235.46</v>
      </c>
      <c r="E177" s="30">
        <f>IF(A177="","",IF(A177=($C$9*12),G176,$G$7-D177))</f>
        <v>914.21</v>
      </c>
      <c r="F177" s="30">
        <f>IF(A177="","",$G$8)</f>
        <v>50.0</v>
      </c>
      <c r="G177" s="30">
        <f>IF(A177="","",G176-E177)</f>
        <v>82190.73</v>
      </c>
    </row>
    <row r="178">
      <c r="A178" s="27">
        <f>IF(161&lt;=($C$9*12),161,"")</f>
        <v>161</v>
      </c>
      <c r="B178" s="28">
        <f>IF(A178="","",EDATE($C$10,A178-1))</f>
        <v>51231</v>
      </c>
      <c r="C178" s="29">
        <f>IF(A178="","",D178+E178+F178)</f>
        <v>1199.67</v>
      </c>
      <c r="D178" s="30">
        <f>IF(A178="","",ROUND(G177*$C$8/12,2))</f>
        <v>232.87</v>
      </c>
      <c r="E178" s="30">
        <f>IF(A178="","",IF(A178=($C$9*12),G177,$G$7-D178))</f>
        <v>916.8</v>
      </c>
      <c r="F178" s="30">
        <f>IF(A178="","",$G$8)</f>
        <v>50.0</v>
      </c>
      <c r="G178" s="30">
        <f>IF(A178="","",G177-E178)</f>
        <v>81273.93</v>
      </c>
    </row>
    <row r="179">
      <c r="A179" s="27">
        <f>IF(162&lt;=($C$9*12),162,"")</f>
        <v>162</v>
      </c>
      <c r="B179" s="28">
        <f>IF(A179="","",EDATE($C$10,A179-1))</f>
        <v>51261</v>
      </c>
      <c r="C179" s="29">
        <f>IF(A179="","",D179+E179+F179)</f>
        <v>1199.67</v>
      </c>
      <c r="D179" s="30">
        <f>IF(A179="","",ROUND(G178*$C$8/12,2))</f>
        <v>230.28</v>
      </c>
      <c r="E179" s="30">
        <f>IF(A179="","",IF(A179=($C$9*12),G178,$G$7-D179))</f>
        <v>919.39</v>
      </c>
      <c r="F179" s="30">
        <f>IF(A179="","",$G$8)</f>
        <v>50.0</v>
      </c>
      <c r="G179" s="30">
        <f>IF(A179="","",G178-E179)</f>
        <v>80354.54</v>
      </c>
    </row>
    <row r="180">
      <c r="A180" s="27">
        <f>IF(163&lt;=($C$9*12),163,"")</f>
        <v>163</v>
      </c>
      <c r="B180" s="28">
        <f>IF(A180="","",EDATE($C$10,A180-1))</f>
        <v>51292</v>
      </c>
      <c r="C180" s="29">
        <f>IF(A180="","",D180+E180+F180)</f>
        <v>1199.67</v>
      </c>
      <c r="D180" s="30">
        <f>IF(A180="","",ROUND(G179*$C$8/12,2))</f>
        <v>227.67</v>
      </c>
      <c r="E180" s="30">
        <f>IF(A180="","",IF(A180=($C$9*12),G179,$G$7-D180))</f>
        <v>922.0</v>
      </c>
      <c r="F180" s="30">
        <f>IF(A180="","",$G$8)</f>
        <v>50.0</v>
      </c>
      <c r="G180" s="30">
        <f>IF(A180="","",G179-E180)</f>
        <v>79432.54</v>
      </c>
    </row>
    <row r="181">
      <c r="A181" s="27">
        <f>IF(164&lt;=($C$9*12),164,"")</f>
        <v>164</v>
      </c>
      <c r="B181" s="28">
        <f>IF(A181="","",EDATE($C$10,A181-1))</f>
        <v>51322</v>
      </c>
      <c r="C181" s="29">
        <f>IF(A181="","",D181+E181+F181)</f>
        <v>1199.67</v>
      </c>
      <c r="D181" s="30">
        <f>IF(A181="","",ROUND(G180*$C$8/12,2))</f>
        <v>225.06</v>
      </c>
      <c r="E181" s="30">
        <f>IF(A181="","",IF(A181=($C$9*12),G180,$G$7-D181))</f>
        <v>924.61</v>
      </c>
      <c r="F181" s="30">
        <f>IF(A181="","",$G$8)</f>
        <v>50.0</v>
      </c>
      <c r="G181" s="30">
        <f>IF(A181="","",G180-E181)</f>
        <v>78507.93</v>
      </c>
    </row>
    <row r="182">
      <c r="A182" s="27">
        <f>IF(165&lt;=($C$9*12),165,"")</f>
        <v>165</v>
      </c>
      <c r="B182" s="28">
        <f>IF(A182="","",EDATE($C$10,A182-1))</f>
        <v>51353</v>
      </c>
      <c r="C182" s="29">
        <f>IF(A182="","",D182+E182+F182)</f>
        <v>1199.67</v>
      </c>
      <c r="D182" s="30">
        <f>IF(A182="","",ROUND(G181*$C$8/12,2))</f>
        <v>222.44</v>
      </c>
      <c r="E182" s="30">
        <f>IF(A182="","",IF(A182=($C$9*12),G181,$G$7-D182))</f>
        <v>927.23</v>
      </c>
      <c r="F182" s="30">
        <f>IF(A182="","",$G$8)</f>
        <v>50.0</v>
      </c>
      <c r="G182" s="30">
        <f>IF(A182="","",G181-E182)</f>
        <v>77580.7</v>
      </c>
    </row>
    <row r="183">
      <c r="A183" s="27">
        <f>IF(166&lt;=($C$9*12),166,"")</f>
        <v>166</v>
      </c>
      <c r="B183" s="28">
        <f>IF(A183="","",EDATE($C$10,A183-1))</f>
        <v>51384</v>
      </c>
      <c r="C183" s="29">
        <f>IF(A183="","",D183+E183+F183)</f>
        <v>1199.67</v>
      </c>
      <c r="D183" s="30">
        <f>IF(A183="","",ROUND(G182*$C$8/12,2))</f>
        <v>219.81</v>
      </c>
      <c r="E183" s="30">
        <f>IF(A183="","",IF(A183=($C$9*12),G182,$G$7-D183))</f>
        <v>929.86</v>
      </c>
      <c r="F183" s="30">
        <f>IF(A183="","",$G$8)</f>
        <v>50.0</v>
      </c>
      <c r="G183" s="30">
        <f>IF(A183="","",G182-E183)</f>
        <v>76650.84</v>
      </c>
    </row>
    <row r="184">
      <c r="A184" s="27">
        <f>IF(167&lt;=($C$9*12),167,"")</f>
        <v>167</v>
      </c>
      <c r="B184" s="28">
        <f>IF(A184="","",EDATE($C$10,A184-1))</f>
        <v>51414</v>
      </c>
      <c r="C184" s="29">
        <f>IF(A184="","",D184+E184+F184)</f>
        <v>1199.67</v>
      </c>
      <c r="D184" s="30">
        <f>IF(A184="","",ROUND(G183*$C$8/12,2))</f>
        <v>217.18</v>
      </c>
      <c r="E184" s="30">
        <f>IF(A184="","",IF(A184=($C$9*12),G183,$G$7-D184))</f>
        <v>932.49</v>
      </c>
      <c r="F184" s="30">
        <f>IF(A184="","",$G$8)</f>
        <v>50.0</v>
      </c>
      <c r="G184" s="30">
        <f>IF(A184="","",G183-E184)</f>
        <v>75718.35</v>
      </c>
    </row>
    <row r="185">
      <c r="A185" s="31">
        <f>IF(168&lt;=($C$9*12),168,"")</f>
        <v>168</v>
      </c>
      <c r="B185" s="32">
        <f>IF(A185="","",EDATE($C$10,A185-1))</f>
        <v>51445</v>
      </c>
      <c r="C185" s="33">
        <f>IF(A185="","",D185+E185+F185)</f>
        <v>1199.67</v>
      </c>
      <c r="D185" s="34">
        <f>IF(A185="","",ROUND(G184*$C$8/12,2))</f>
        <v>214.54</v>
      </c>
      <c r="E185" s="34">
        <f>IF(A185="","",IF(A185=($C$9*12),G184,$G$7-D185))</f>
        <v>935.13</v>
      </c>
      <c r="F185" s="34">
        <f>IF(A185="","",$G$8)</f>
        <v>50.0</v>
      </c>
      <c r="G185" s="34">
        <f>IF(A185="","",G184-E185)</f>
        <v>74783.22</v>
      </c>
    </row>
    <row r="186">
      <c r="A186" s="27">
        <f>IF(169&lt;=($C$9*12),169,"")</f>
        <v>169</v>
      </c>
      <c r="B186" s="28">
        <f>IF(A186="","",EDATE($C$10,A186-1))</f>
        <v>51475</v>
      </c>
      <c r="C186" s="29">
        <f>IF(A186="","",D186+E186+F186)</f>
        <v>1199.67</v>
      </c>
      <c r="D186" s="30">
        <f>IF(A186="","",ROUND(G185*$C$8/12,2))</f>
        <v>211.89</v>
      </c>
      <c r="E186" s="30">
        <f>IF(A186="","",IF(A186=($C$9*12),G185,$G$7-D186))</f>
        <v>937.78</v>
      </c>
      <c r="F186" s="30">
        <f>IF(A186="","",$G$8)</f>
        <v>50.0</v>
      </c>
      <c r="G186" s="30">
        <f>IF(A186="","",G185-E186)</f>
        <v>73845.44</v>
      </c>
    </row>
    <row r="187">
      <c r="A187" s="27">
        <f>IF(170&lt;=($C$9*12),170,"")</f>
        <v>170</v>
      </c>
      <c r="B187" s="28">
        <f>IF(A187="","",EDATE($C$10,A187-1))</f>
        <v>51506</v>
      </c>
      <c r="C187" s="29">
        <f>IF(A187="","",D187+E187+F187)</f>
        <v>1199.67</v>
      </c>
      <c r="D187" s="30">
        <f>IF(A187="","",ROUND(G186*$C$8/12,2))</f>
        <v>209.23</v>
      </c>
      <c r="E187" s="30">
        <f>IF(A187="","",IF(A187=($C$9*12),G186,$G$7-D187))</f>
        <v>940.44</v>
      </c>
      <c r="F187" s="30">
        <f>IF(A187="","",$G$8)</f>
        <v>50.0</v>
      </c>
      <c r="G187" s="30">
        <f>IF(A187="","",G186-E187)</f>
        <v>72905.0</v>
      </c>
    </row>
    <row r="188">
      <c r="A188" s="27">
        <f>IF(171&lt;=($C$9*12),171,"")</f>
        <v>171</v>
      </c>
      <c r="B188" s="28">
        <f>IF(A188="","",EDATE($C$10,A188-1))</f>
        <v>51537</v>
      </c>
      <c r="C188" s="29">
        <f>IF(A188="","",D188+E188+F188)</f>
        <v>1199.67</v>
      </c>
      <c r="D188" s="30">
        <f>IF(A188="","",ROUND(G187*$C$8/12,2))</f>
        <v>206.56</v>
      </c>
      <c r="E188" s="30">
        <f>IF(A188="","",IF(A188=($C$9*12),G187,$G$7-D188))</f>
        <v>943.11</v>
      </c>
      <c r="F188" s="30">
        <f>IF(A188="","",$G$8)</f>
        <v>50.0</v>
      </c>
      <c r="G188" s="30">
        <f>IF(A188="","",G187-E188)</f>
        <v>71961.89</v>
      </c>
    </row>
    <row r="189">
      <c r="A189" s="27">
        <f>IF(172&lt;=($C$9*12),172,"")</f>
        <v>172</v>
      </c>
      <c r="B189" s="28">
        <f>IF(A189="","",EDATE($C$10,A189-1))</f>
        <v>51565</v>
      </c>
      <c r="C189" s="29">
        <f>IF(A189="","",D189+E189+F189)</f>
        <v>1199.67</v>
      </c>
      <c r="D189" s="30">
        <f>IF(A189="","",ROUND(G188*$C$8/12,2))</f>
        <v>203.89</v>
      </c>
      <c r="E189" s="30">
        <f>IF(A189="","",IF(A189=($C$9*12),G188,$G$7-D189))</f>
        <v>945.78</v>
      </c>
      <c r="F189" s="30">
        <f>IF(A189="","",$G$8)</f>
        <v>50.0</v>
      </c>
      <c r="G189" s="30">
        <f>IF(A189="","",G188-E189)</f>
        <v>71016.11</v>
      </c>
    </row>
    <row r="190">
      <c r="A190" s="27">
        <f>IF(173&lt;=($C$9*12),173,"")</f>
        <v>173</v>
      </c>
      <c r="B190" s="28">
        <f>IF(A190="","",EDATE($C$10,A190-1))</f>
        <v>51596</v>
      </c>
      <c r="C190" s="29">
        <f>IF(A190="","",D190+E190+F190)</f>
        <v>1199.67</v>
      </c>
      <c r="D190" s="30">
        <f>IF(A190="","",ROUND(G189*$C$8/12,2))</f>
        <v>201.21</v>
      </c>
      <c r="E190" s="30">
        <f>IF(A190="","",IF(A190=($C$9*12),G189,$G$7-D190))</f>
        <v>948.46</v>
      </c>
      <c r="F190" s="30">
        <f>IF(A190="","",$G$8)</f>
        <v>50.0</v>
      </c>
      <c r="G190" s="30">
        <f>IF(A190="","",G189-E190)</f>
        <v>70067.65</v>
      </c>
    </row>
    <row r="191">
      <c r="A191" s="27">
        <f>IF(174&lt;=($C$9*12),174,"")</f>
        <v>174</v>
      </c>
      <c r="B191" s="28">
        <f>IF(A191="","",EDATE($C$10,A191-1))</f>
        <v>51626</v>
      </c>
      <c r="C191" s="29">
        <f>IF(A191="","",D191+E191+F191)</f>
        <v>1199.67</v>
      </c>
      <c r="D191" s="30">
        <f>IF(A191="","",ROUND(G190*$C$8/12,2))</f>
        <v>198.53</v>
      </c>
      <c r="E191" s="30">
        <f>IF(A191="","",IF(A191=($C$9*12),G190,$G$7-D191))</f>
        <v>951.14</v>
      </c>
      <c r="F191" s="30">
        <f>IF(A191="","",$G$8)</f>
        <v>50.0</v>
      </c>
      <c r="G191" s="30">
        <f>IF(A191="","",G190-E191)</f>
        <v>69116.51</v>
      </c>
    </row>
    <row r="192">
      <c r="A192" s="27">
        <f>IF(175&lt;=($C$9*12),175,"")</f>
        <v>175</v>
      </c>
      <c r="B192" s="28">
        <f>IF(A192="","",EDATE($C$10,A192-1))</f>
        <v>51657</v>
      </c>
      <c r="C192" s="29">
        <f>IF(A192="","",D192+E192+F192)</f>
        <v>1199.67</v>
      </c>
      <c r="D192" s="30">
        <f>IF(A192="","",ROUND(G191*$C$8/12,2))</f>
        <v>195.83</v>
      </c>
      <c r="E192" s="30">
        <f>IF(A192="","",IF(A192=($C$9*12),G191,$G$7-D192))</f>
        <v>953.84</v>
      </c>
      <c r="F192" s="30">
        <f>IF(A192="","",$G$8)</f>
        <v>50.0</v>
      </c>
      <c r="G192" s="30">
        <f>IF(A192="","",G191-E192)</f>
        <v>68162.67</v>
      </c>
    </row>
    <row r="193">
      <c r="A193" s="27">
        <f>IF(176&lt;=($C$9*12),176,"")</f>
        <v>176</v>
      </c>
      <c r="B193" s="28">
        <f>IF(A193="","",EDATE($C$10,A193-1))</f>
        <v>51687</v>
      </c>
      <c r="C193" s="29">
        <f>IF(A193="","",D193+E193+F193)</f>
        <v>1199.67</v>
      </c>
      <c r="D193" s="30">
        <f>IF(A193="","",ROUND(G192*$C$8/12,2))</f>
        <v>193.13</v>
      </c>
      <c r="E193" s="30">
        <f>IF(A193="","",IF(A193=($C$9*12),G192,$G$7-D193))</f>
        <v>956.54</v>
      </c>
      <c r="F193" s="30">
        <f>IF(A193="","",$G$8)</f>
        <v>50.0</v>
      </c>
      <c r="G193" s="30">
        <f>IF(A193="","",G192-E193)</f>
        <v>67206.13</v>
      </c>
    </row>
    <row r="194">
      <c r="A194" s="27">
        <f>IF(177&lt;=($C$9*12),177,"")</f>
        <v>177</v>
      </c>
      <c r="B194" s="28">
        <f>IF(A194="","",EDATE($C$10,A194-1))</f>
        <v>51718</v>
      </c>
      <c r="C194" s="29">
        <f>IF(A194="","",D194+E194+F194)</f>
        <v>1199.67</v>
      </c>
      <c r="D194" s="30">
        <f>IF(A194="","",ROUND(G193*$C$8/12,2))</f>
        <v>190.42</v>
      </c>
      <c r="E194" s="30">
        <f>IF(A194="","",IF(A194=($C$9*12),G193,$G$7-D194))</f>
        <v>959.25</v>
      </c>
      <c r="F194" s="30">
        <f>IF(A194="","",$G$8)</f>
        <v>50.0</v>
      </c>
      <c r="G194" s="30">
        <f>IF(A194="","",G193-E194)</f>
        <v>66246.88</v>
      </c>
    </row>
    <row r="195">
      <c r="A195" s="27">
        <f>IF(178&lt;=($C$9*12),178,"")</f>
        <v>178</v>
      </c>
      <c r="B195" s="28">
        <f>IF(A195="","",EDATE($C$10,A195-1))</f>
        <v>51749</v>
      </c>
      <c r="C195" s="29">
        <f>IF(A195="","",D195+E195+F195)</f>
        <v>1199.67</v>
      </c>
      <c r="D195" s="30">
        <f>IF(A195="","",ROUND(G194*$C$8/12,2))</f>
        <v>187.7</v>
      </c>
      <c r="E195" s="30">
        <f>IF(A195="","",IF(A195=($C$9*12),G194,$G$7-D195))</f>
        <v>961.97</v>
      </c>
      <c r="F195" s="30">
        <f>IF(A195="","",$G$8)</f>
        <v>50.0</v>
      </c>
      <c r="G195" s="30">
        <f>IF(A195="","",G194-E195)</f>
        <v>65284.91</v>
      </c>
    </row>
    <row r="196">
      <c r="A196" s="27">
        <f>IF(179&lt;=($C$9*12),179,"")</f>
        <v>179</v>
      </c>
      <c r="B196" s="28">
        <f>IF(A196="","",EDATE($C$10,A196-1))</f>
        <v>51779</v>
      </c>
      <c r="C196" s="29">
        <f>IF(A196="","",D196+E196+F196)</f>
        <v>1199.67</v>
      </c>
      <c r="D196" s="30">
        <f>IF(A196="","",ROUND(G195*$C$8/12,2))</f>
        <v>184.97</v>
      </c>
      <c r="E196" s="30">
        <f>IF(A196="","",IF(A196=($C$9*12),G195,$G$7-D196))</f>
        <v>964.7</v>
      </c>
      <c r="F196" s="30">
        <f>IF(A196="","",$G$8)</f>
        <v>50.0</v>
      </c>
      <c r="G196" s="30">
        <f>IF(A196="","",G195-E196)</f>
        <v>64320.21</v>
      </c>
    </row>
    <row r="197">
      <c r="A197" s="31">
        <f>IF(180&lt;=($C$9*12),180,"")</f>
        <v>180</v>
      </c>
      <c r="B197" s="32">
        <f>IF(A197="","",EDATE($C$10,A197-1))</f>
        <v>51810</v>
      </c>
      <c r="C197" s="33">
        <f>IF(A197="","",D197+E197+F197)</f>
        <v>1199.67</v>
      </c>
      <c r="D197" s="34">
        <f>IF(A197="","",ROUND(G196*$C$8/12,2))</f>
        <v>182.24</v>
      </c>
      <c r="E197" s="34">
        <f>IF(A197="","",IF(A197=($C$9*12),G196,$G$7-D197))</f>
        <v>967.43</v>
      </c>
      <c r="F197" s="34">
        <f>IF(A197="","",$G$8)</f>
        <v>50.0</v>
      </c>
      <c r="G197" s="34">
        <f>IF(A197="","",G196-E197)</f>
        <v>63352.78</v>
      </c>
    </row>
    <row r="198">
      <c r="A198" s="27">
        <f>IF(181&lt;=($C$9*12),181,"")</f>
        <v>181</v>
      </c>
      <c r="B198" s="28">
        <f>IF(A198="","",EDATE($C$10,A198-1))</f>
        <v>51840</v>
      </c>
      <c r="C198" s="29">
        <f>IF(A198="","",D198+E198+F198)</f>
        <v>1199.67</v>
      </c>
      <c r="D198" s="30">
        <f>IF(A198="","",ROUND(G197*$C$8/12,2))</f>
        <v>179.5</v>
      </c>
      <c r="E198" s="30">
        <f>IF(A198="","",IF(A198=($C$9*12),G197,$G$7-D198))</f>
        <v>970.17</v>
      </c>
      <c r="F198" s="30">
        <f>IF(A198="","",$G$8)</f>
        <v>50.0</v>
      </c>
      <c r="G198" s="30">
        <f>IF(A198="","",G197-E198)</f>
        <v>62382.61</v>
      </c>
    </row>
    <row r="199">
      <c r="A199" s="27">
        <f>IF(182&lt;=($C$9*12),182,"")</f>
        <v>182</v>
      </c>
      <c r="B199" s="28">
        <f>IF(A199="","",EDATE($C$10,A199-1))</f>
        <v>51871</v>
      </c>
      <c r="C199" s="29">
        <f>IF(A199="","",D199+E199+F199)</f>
        <v>1199.67</v>
      </c>
      <c r="D199" s="30">
        <f>IF(A199="","",ROUND(G198*$C$8/12,2))</f>
        <v>176.75</v>
      </c>
      <c r="E199" s="30">
        <f>IF(A199="","",IF(A199=($C$9*12),G198,$G$7-D199))</f>
        <v>972.92</v>
      </c>
      <c r="F199" s="30">
        <f>IF(A199="","",$G$8)</f>
        <v>50.0</v>
      </c>
      <c r="G199" s="30">
        <f>IF(A199="","",G198-E199)</f>
        <v>61409.69</v>
      </c>
    </row>
    <row r="200">
      <c r="A200" s="27">
        <f>IF(183&lt;=($C$9*12),183,"")</f>
        <v>183</v>
      </c>
      <c r="B200" s="28">
        <f>IF(A200="","",EDATE($C$10,A200-1))</f>
        <v>51902</v>
      </c>
      <c r="C200" s="29">
        <f>IF(A200="","",D200+E200+F200)</f>
        <v>1199.67</v>
      </c>
      <c r="D200" s="30">
        <f>IF(A200="","",ROUND(G199*$C$8/12,2))</f>
        <v>173.99</v>
      </c>
      <c r="E200" s="30">
        <f>IF(A200="","",IF(A200=($C$9*12),G199,$G$7-D200))</f>
        <v>975.68</v>
      </c>
      <c r="F200" s="30">
        <f>IF(A200="","",$G$8)</f>
        <v>50.0</v>
      </c>
      <c r="G200" s="30">
        <f>IF(A200="","",G199-E200)</f>
        <v>60434.01</v>
      </c>
    </row>
    <row r="201">
      <c r="A201" s="27">
        <f>IF(184&lt;=($C$9*12),184,"")</f>
        <v>184</v>
      </c>
      <c r="B201" s="28">
        <f>IF(A201="","",EDATE($C$10,A201-1))</f>
        <v>51930</v>
      </c>
      <c r="C201" s="29">
        <f>IF(A201="","",D201+E201+F201)</f>
        <v>1199.67</v>
      </c>
      <c r="D201" s="30">
        <f>IF(A201="","",ROUND(G200*$C$8/12,2))</f>
        <v>171.23</v>
      </c>
      <c r="E201" s="30">
        <f>IF(A201="","",IF(A201=($C$9*12),G200,$G$7-D201))</f>
        <v>978.44</v>
      </c>
      <c r="F201" s="30">
        <f>IF(A201="","",$G$8)</f>
        <v>50.0</v>
      </c>
      <c r="G201" s="30">
        <f>IF(A201="","",G200-E201)</f>
        <v>59455.57</v>
      </c>
    </row>
    <row r="202">
      <c r="A202" s="27">
        <f>IF(185&lt;=($C$9*12),185,"")</f>
        <v>185</v>
      </c>
      <c r="B202" s="28">
        <f>IF(A202="","",EDATE($C$10,A202-1))</f>
        <v>51961</v>
      </c>
      <c r="C202" s="29">
        <f>IF(A202="","",D202+E202+F202)</f>
        <v>1199.67</v>
      </c>
      <c r="D202" s="30">
        <f>IF(A202="","",ROUND(G201*$C$8/12,2))</f>
        <v>168.46</v>
      </c>
      <c r="E202" s="30">
        <f>IF(A202="","",IF(A202=($C$9*12),G201,$G$7-D202))</f>
        <v>981.21</v>
      </c>
      <c r="F202" s="30">
        <f>IF(A202="","",$G$8)</f>
        <v>50.0</v>
      </c>
      <c r="G202" s="30">
        <f>IF(A202="","",G201-E202)</f>
        <v>58474.36</v>
      </c>
    </row>
    <row r="203">
      <c r="A203" s="27">
        <f>IF(186&lt;=($C$9*12),186,"")</f>
        <v>186</v>
      </c>
      <c r="B203" s="28">
        <f>IF(A203="","",EDATE($C$10,A203-1))</f>
        <v>51991</v>
      </c>
      <c r="C203" s="29">
        <f>IF(A203="","",D203+E203+F203)</f>
        <v>1199.67</v>
      </c>
      <c r="D203" s="30">
        <f>IF(A203="","",ROUND(G202*$C$8/12,2))</f>
        <v>165.68</v>
      </c>
      <c r="E203" s="30">
        <f>IF(A203="","",IF(A203=($C$9*12),G202,$G$7-D203))</f>
        <v>983.99</v>
      </c>
      <c r="F203" s="30">
        <f>IF(A203="","",$G$8)</f>
        <v>50.0</v>
      </c>
      <c r="G203" s="30">
        <f>IF(A203="","",G202-E203)</f>
        <v>57490.37</v>
      </c>
    </row>
    <row r="204">
      <c r="A204" s="27">
        <f>IF(187&lt;=($C$9*12),187,"")</f>
        <v>187</v>
      </c>
      <c r="B204" s="28">
        <f>IF(A204="","",EDATE($C$10,A204-1))</f>
        <v>52022</v>
      </c>
      <c r="C204" s="29">
        <f>IF(A204="","",D204+E204+F204)</f>
        <v>1199.67</v>
      </c>
      <c r="D204" s="30">
        <f>IF(A204="","",ROUND(G203*$C$8/12,2))</f>
        <v>162.89</v>
      </c>
      <c r="E204" s="30">
        <f>IF(A204="","",IF(A204=($C$9*12),G203,$G$7-D204))</f>
        <v>986.78</v>
      </c>
      <c r="F204" s="30">
        <f>IF(A204="","",$G$8)</f>
        <v>50.0</v>
      </c>
      <c r="G204" s="30">
        <f>IF(A204="","",G203-E204)</f>
        <v>56503.59</v>
      </c>
    </row>
    <row r="205">
      <c r="A205" s="27">
        <f>IF(188&lt;=($C$9*12),188,"")</f>
        <v>188</v>
      </c>
      <c r="B205" s="28">
        <f>IF(A205="","",EDATE($C$10,A205-1))</f>
        <v>52052</v>
      </c>
      <c r="C205" s="29">
        <f>IF(A205="","",D205+E205+F205)</f>
        <v>1199.67</v>
      </c>
      <c r="D205" s="30">
        <f>IF(A205="","",ROUND(G204*$C$8/12,2))</f>
        <v>160.09</v>
      </c>
      <c r="E205" s="30">
        <f>IF(A205="","",IF(A205=($C$9*12),G204,$G$7-D205))</f>
        <v>989.58</v>
      </c>
      <c r="F205" s="30">
        <f>IF(A205="","",$G$8)</f>
        <v>50.0</v>
      </c>
      <c r="G205" s="30">
        <f>IF(A205="","",G204-E205)</f>
        <v>55514.01</v>
      </c>
    </row>
    <row r="206">
      <c r="A206" s="27">
        <f>IF(189&lt;=($C$9*12),189,"")</f>
        <v>189</v>
      </c>
      <c r="B206" s="28">
        <f>IF(A206="","",EDATE($C$10,A206-1))</f>
        <v>52083</v>
      </c>
      <c r="C206" s="29">
        <f>IF(A206="","",D206+E206+F206)</f>
        <v>1199.67</v>
      </c>
      <c r="D206" s="30">
        <f>IF(A206="","",ROUND(G205*$C$8/12,2))</f>
        <v>157.29</v>
      </c>
      <c r="E206" s="30">
        <f>IF(A206="","",IF(A206=($C$9*12),G205,$G$7-D206))</f>
        <v>992.38</v>
      </c>
      <c r="F206" s="30">
        <f>IF(A206="","",$G$8)</f>
        <v>50.0</v>
      </c>
      <c r="G206" s="30">
        <f>IF(A206="","",G205-E206)</f>
        <v>54521.63</v>
      </c>
    </row>
    <row r="207">
      <c r="A207" s="27">
        <f>IF(190&lt;=($C$9*12),190,"")</f>
        <v>190</v>
      </c>
      <c r="B207" s="28">
        <f>IF(A207="","",EDATE($C$10,A207-1))</f>
        <v>52114</v>
      </c>
      <c r="C207" s="29">
        <f>IF(A207="","",D207+E207+F207)</f>
        <v>1199.67</v>
      </c>
      <c r="D207" s="30">
        <f>IF(A207="","",ROUND(G206*$C$8/12,2))</f>
        <v>154.48</v>
      </c>
      <c r="E207" s="30">
        <f>IF(A207="","",IF(A207=($C$9*12),G206,$G$7-D207))</f>
        <v>995.19</v>
      </c>
      <c r="F207" s="30">
        <f>IF(A207="","",$G$8)</f>
        <v>50.0</v>
      </c>
      <c r="G207" s="30">
        <f>IF(A207="","",G206-E207)</f>
        <v>53526.44</v>
      </c>
    </row>
    <row r="208">
      <c r="A208" s="27">
        <f>IF(191&lt;=($C$9*12),191,"")</f>
        <v>191</v>
      </c>
      <c r="B208" s="28">
        <f>IF(A208="","",EDATE($C$10,A208-1))</f>
        <v>52144</v>
      </c>
      <c r="C208" s="29">
        <f>IF(A208="","",D208+E208+F208)</f>
        <v>1199.67</v>
      </c>
      <c r="D208" s="30">
        <f>IF(A208="","",ROUND(G207*$C$8/12,2))</f>
        <v>151.66</v>
      </c>
      <c r="E208" s="30">
        <f>IF(A208="","",IF(A208=($C$9*12),G207,$G$7-D208))</f>
        <v>998.01</v>
      </c>
      <c r="F208" s="30">
        <f>IF(A208="","",$G$8)</f>
        <v>50.0</v>
      </c>
      <c r="G208" s="30">
        <f>IF(A208="","",G207-E208)</f>
        <v>52528.43</v>
      </c>
    </row>
    <row r="209">
      <c r="A209" s="31">
        <f>IF(192&lt;=($C$9*12),192,"")</f>
        <v>192</v>
      </c>
      <c r="B209" s="32">
        <f>IF(A209="","",EDATE($C$10,A209-1))</f>
        <v>52175</v>
      </c>
      <c r="C209" s="33">
        <f>IF(A209="","",D209+E209+F209)</f>
        <v>1199.67</v>
      </c>
      <c r="D209" s="34">
        <f>IF(A209="","",ROUND(G208*$C$8/12,2))</f>
        <v>148.83</v>
      </c>
      <c r="E209" s="34">
        <f>IF(A209="","",IF(A209=($C$9*12),G208,$G$7-D209))</f>
        <v>1000.84</v>
      </c>
      <c r="F209" s="34">
        <f>IF(A209="","",$G$8)</f>
        <v>50.0</v>
      </c>
      <c r="G209" s="34">
        <f>IF(A209="","",G208-E209)</f>
        <v>51527.59</v>
      </c>
    </row>
    <row r="210">
      <c r="A210" s="27">
        <f>IF(193&lt;=($C$9*12),193,"")</f>
        <v>193</v>
      </c>
      <c r="B210" s="28">
        <f>IF(A210="","",EDATE($C$10,A210-1))</f>
        <v>52205</v>
      </c>
      <c r="C210" s="29">
        <f>IF(A210="","",D210+E210+F210)</f>
        <v>1199.67</v>
      </c>
      <c r="D210" s="30">
        <f>IF(A210="","",ROUND(G209*$C$8/12,2))</f>
        <v>145.99</v>
      </c>
      <c r="E210" s="30">
        <f>IF(A210="","",IF(A210=($C$9*12),G209,$G$7-D210))</f>
        <v>1003.68</v>
      </c>
      <c r="F210" s="30">
        <f>IF(A210="","",$G$8)</f>
        <v>50.0</v>
      </c>
      <c r="G210" s="30">
        <f>IF(A210="","",G209-E210)</f>
        <v>50523.91</v>
      </c>
    </row>
    <row r="211">
      <c r="A211" s="27">
        <f>IF(194&lt;=($C$9*12),194,"")</f>
        <v>194</v>
      </c>
      <c r="B211" s="28">
        <f>IF(A211="","",EDATE($C$10,A211-1))</f>
        <v>52236</v>
      </c>
      <c r="C211" s="29">
        <f>IF(A211="","",D211+E211+F211)</f>
        <v>1199.67</v>
      </c>
      <c r="D211" s="30">
        <f>IF(A211="","",ROUND(G210*$C$8/12,2))</f>
        <v>143.15</v>
      </c>
      <c r="E211" s="30">
        <f>IF(A211="","",IF(A211=($C$9*12),G210,$G$7-D211))</f>
        <v>1006.52</v>
      </c>
      <c r="F211" s="30">
        <f>IF(A211="","",$G$8)</f>
        <v>50.0</v>
      </c>
      <c r="G211" s="30">
        <f>IF(A211="","",G210-E211)</f>
        <v>49517.39</v>
      </c>
    </row>
    <row r="212">
      <c r="A212" s="27">
        <f>IF(195&lt;=($C$9*12),195,"")</f>
        <v>195</v>
      </c>
      <c r="B212" s="28">
        <f>IF(A212="","",EDATE($C$10,A212-1))</f>
        <v>52267</v>
      </c>
      <c r="C212" s="29">
        <f>IF(A212="","",D212+E212+F212)</f>
        <v>1199.67</v>
      </c>
      <c r="D212" s="30">
        <f>IF(A212="","",ROUND(G211*$C$8/12,2))</f>
        <v>140.3</v>
      </c>
      <c r="E212" s="30">
        <f>IF(A212="","",IF(A212=($C$9*12),G211,$G$7-D212))</f>
        <v>1009.37</v>
      </c>
      <c r="F212" s="30">
        <f>IF(A212="","",$G$8)</f>
        <v>50.0</v>
      </c>
      <c r="G212" s="30">
        <f>IF(A212="","",G211-E212)</f>
        <v>48508.02</v>
      </c>
    </row>
    <row r="213">
      <c r="A213" s="27">
        <f>IF(196&lt;=($C$9*12),196,"")</f>
        <v>196</v>
      </c>
      <c r="B213" s="28">
        <f>IF(A213="","",EDATE($C$10,A213-1))</f>
        <v>52295</v>
      </c>
      <c r="C213" s="29">
        <f>IF(A213="","",D213+E213+F213)</f>
        <v>1199.67</v>
      </c>
      <c r="D213" s="30">
        <f>IF(A213="","",ROUND(G212*$C$8/12,2))</f>
        <v>137.44</v>
      </c>
      <c r="E213" s="30">
        <f>IF(A213="","",IF(A213=($C$9*12),G212,$G$7-D213))</f>
        <v>1012.23</v>
      </c>
      <c r="F213" s="30">
        <f>IF(A213="","",$G$8)</f>
        <v>50.0</v>
      </c>
      <c r="G213" s="30">
        <f>IF(A213="","",G212-E213)</f>
        <v>47495.79</v>
      </c>
    </row>
    <row r="214">
      <c r="A214" s="27">
        <f>IF(197&lt;=($C$9*12),197,"")</f>
        <v>197</v>
      </c>
      <c r="B214" s="28">
        <f>IF(A214="","",EDATE($C$10,A214-1))</f>
        <v>52326</v>
      </c>
      <c r="C214" s="29">
        <f>IF(A214="","",D214+E214+F214)</f>
        <v>1199.67</v>
      </c>
      <c r="D214" s="30">
        <f>IF(A214="","",ROUND(G213*$C$8/12,2))</f>
        <v>134.57</v>
      </c>
      <c r="E214" s="30">
        <f>IF(A214="","",IF(A214=($C$9*12),G213,$G$7-D214))</f>
        <v>1015.1</v>
      </c>
      <c r="F214" s="30">
        <f>IF(A214="","",$G$8)</f>
        <v>50.0</v>
      </c>
      <c r="G214" s="30">
        <f>IF(A214="","",G213-E214)</f>
        <v>46480.69</v>
      </c>
    </row>
    <row r="215">
      <c r="A215" s="27">
        <f>IF(198&lt;=($C$9*12),198,"")</f>
        <v>198</v>
      </c>
      <c r="B215" s="28">
        <f>IF(A215="","",EDATE($C$10,A215-1))</f>
        <v>52356</v>
      </c>
      <c r="C215" s="29">
        <f>IF(A215="","",D215+E215+F215)</f>
        <v>1199.67</v>
      </c>
      <c r="D215" s="30">
        <f>IF(A215="","",ROUND(G214*$C$8/12,2))</f>
        <v>131.7</v>
      </c>
      <c r="E215" s="30">
        <f>IF(A215="","",IF(A215=($C$9*12),G214,$G$7-D215))</f>
        <v>1017.97</v>
      </c>
      <c r="F215" s="30">
        <f>IF(A215="","",$G$8)</f>
        <v>50.0</v>
      </c>
      <c r="G215" s="30">
        <f>IF(A215="","",G214-E215)</f>
        <v>45462.72</v>
      </c>
    </row>
    <row r="216">
      <c r="A216" s="27">
        <f>IF(199&lt;=($C$9*12),199,"")</f>
        <v>199</v>
      </c>
      <c r="B216" s="28">
        <f>IF(A216="","",EDATE($C$10,A216-1))</f>
        <v>52387</v>
      </c>
      <c r="C216" s="29">
        <f>IF(A216="","",D216+E216+F216)</f>
        <v>1199.67</v>
      </c>
      <c r="D216" s="30">
        <f>IF(A216="","",ROUND(G215*$C$8/12,2))</f>
        <v>128.81</v>
      </c>
      <c r="E216" s="30">
        <f>IF(A216="","",IF(A216=($C$9*12),G215,$G$7-D216))</f>
        <v>1020.86</v>
      </c>
      <c r="F216" s="30">
        <f>IF(A216="","",$G$8)</f>
        <v>50.0</v>
      </c>
      <c r="G216" s="30">
        <f>IF(A216="","",G215-E216)</f>
        <v>44441.86</v>
      </c>
    </row>
    <row r="217">
      <c r="A217" s="27">
        <f>IF(200&lt;=($C$9*12),200,"")</f>
        <v>200</v>
      </c>
      <c r="B217" s="28">
        <f>IF(A217="","",EDATE($C$10,A217-1))</f>
        <v>52417</v>
      </c>
      <c r="C217" s="29">
        <f>IF(A217="","",D217+E217+F217)</f>
        <v>1199.67</v>
      </c>
      <c r="D217" s="30">
        <f>IF(A217="","",ROUND(G216*$C$8/12,2))</f>
        <v>125.92</v>
      </c>
      <c r="E217" s="30">
        <f>IF(A217="","",IF(A217=($C$9*12),G216,$G$7-D217))</f>
        <v>1023.75</v>
      </c>
      <c r="F217" s="30">
        <f>IF(A217="","",$G$8)</f>
        <v>50.0</v>
      </c>
      <c r="G217" s="30">
        <f>IF(A217="","",G216-E217)</f>
        <v>43418.11</v>
      </c>
    </row>
    <row r="218">
      <c r="A218" s="27">
        <f>IF(201&lt;=($C$9*12),201,"")</f>
        <v>201</v>
      </c>
      <c r="B218" s="28">
        <f>IF(A218="","",EDATE($C$10,A218-1))</f>
        <v>52448</v>
      </c>
      <c r="C218" s="29">
        <f>IF(A218="","",D218+E218+F218)</f>
        <v>1199.67</v>
      </c>
      <c r="D218" s="30">
        <f>IF(A218="","",ROUND(G217*$C$8/12,2))</f>
        <v>123.02</v>
      </c>
      <c r="E218" s="30">
        <f>IF(A218="","",IF(A218=($C$9*12),G217,$G$7-D218))</f>
        <v>1026.65</v>
      </c>
      <c r="F218" s="30">
        <f>IF(A218="","",$G$8)</f>
        <v>50.0</v>
      </c>
      <c r="G218" s="30">
        <f>IF(A218="","",G217-E218)</f>
        <v>42391.46</v>
      </c>
    </row>
    <row r="219">
      <c r="A219" s="27">
        <f>IF(202&lt;=($C$9*12),202,"")</f>
        <v>202</v>
      </c>
      <c r="B219" s="28">
        <f>IF(A219="","",EDATE($C$10,A219-1))</f>
        <v>52479</v>
      </c>
      <c r="C219" s="29">
        <f>IF(A219="","",D219+E219+F219)</f>
        <v>1199.67</v>
      </c>
      <c r="D219" s="30">
        <f>IF(A219="","",ROUND(G218*$C$8/12,2))</f>
        <v>120.11</v>
      </c>
      <c r="E219" s="30">
        <f>IF(A219="","",IF(A219=($C$9*12),G218,$G$7-D219))</f>
        <v>1029.56</v>
      </c>
      <c r="F219" s="30">
        <f>IF(A219="","",$G$8)</f>
        <v>50.0</v>
      </c>
      <c r="G219" s="30">
        <f>IF(A219="","",G218-E219)</f>
        <v>41361.9</v>
      </c>
    </row>
    <row r="220">
      <c r="A220" s="27">
        <f>IF(203&lt;=($C$9*12),203,"")</f>
        <v>203</v>
      </c>
      <c r="B220" s="28">
        <f>IF(A220="","",EDATE($C$10,A220-1))</f>
        <v>52509</v>
      </c>
      <c r="C220" s="29">
        <f>IF(A220="","",D220+E220+F220)</f>
        <v>1199.67</v>
      </c>
      <c r="D220" s="30">
        <f>IF(A220="","",ROUND(G219*$C$8/12,2))</f>
        <v>117.19</v>
      </c>
      <c r="E220" s="30">
        <f>IF(A220="","",IF(A220=($C$9*12),G219,$G$7-D220))</f>
        <v>1032.48</v>
      </c>
      <c r="F220" s="30">
        <f>IF(A220="","",$G$8)</f>
        <v>50.0</v>
      </c>
      <c r="G220" s="30">
        <f>IF(A220="","",G219-E220)</f>
        <v>40329.42</v>
      </c>
    </row>
    <row r="221">
      <c r="A221" s="31">
        <f>IF(204&lt;=($C$9*12),204,"")</f>
        <v>204</v>
      </c>
      <c r="B221" s="32">
        <f>IF(A221="","",EDATE($C$10,A221-1))</f>
        <v>52540</v>
      </c>
      <c r="C221" s="33">
        <f>IF(A221="","",D221+E221+F221)</f>
        <v>1199.67</v>
      </c>
      <c r="D221" s="34">
        <f>IF(A221="","",ROUND(G220*$C$8/12,2))</f>
        <v>114.27</v>
      </c>
      <c r="E221" s="34">
        <f>IF(A221="","",IF(A221=($C$9*12),G220,$G$7-D221))</f>
        <v>1035.4</v>
      </c>
      <c r="F221" s="34">
        <f>IF(A221="","",$G$8)</f>
        <v>50.0</v>
      </c>
      <c r="G221" s="34">
        <f>IF(A221="","",G220-E221)</f>
        <v>39294.02</v>
      </c>
    </row>
    <row r="222">
      <c r="A222" s="27">
        <f>IF(205&lt;=($C$9*12),205,"")</f>
        <v>205</v>
      </c>
      <c r="B222" s="28">
        <f>IF(A222="","",EDATE($C$10,A222-1))</f>
        <v>52570</v>
      </c>
      <c r="C222" s="29">
        <f>IF(A222="","",D222+E222+F222)</f>
        <v>1199.67</v>
      </c>
      <c r="D222" s="30">
        <f>IF(A222="","",ROUND(G221*$C$8/12,2))</f>
        <v>111.33</v>
      </c>
      <c r="E222" s="30">
        <f>IF(A222="","",IF(A222=($C$9*12),G221,$G$7-D222))</f>
        <v>1038.34</v>
      </c>
      <c r="F222" s="30">
        <f>IF(A222="","",$G$8)</f>
        <v>50.0</v>
      </c>
      <c r="G222" s="30">
        <f>IF(A222="","",G221-E222)</f>
        <v>38255.68</v>
      </c>
    </row>
    <row r="223">
      <c r="A223" s="27">
        <f>IF(206&lt;=($C$9*12),206,"")</f>
        <v>206</v>
      </c>
      <c r="B223" s="28">
        <f>IF(A223="","",EDATE($C$10,A223-1))</f>
        <v>52601</v>
      </c>
      <c r="C223" s="29">
        <f>IF(A223="","",D223+E223+F223)</f>
        <v>1199.67</v>
      </c>
      <c r="D223" s="30">
        <f>IF(A223="","",ROUND(G222*$C$8/12,2))</f>
        <v>108.39</v>
      </c>
      <c r="E223" s="30">
        <f>IF(A223="","",IF(A223=($C$9*12),G222,$G$7-D223))</f>
        <v>1041.28</v>
      </c>
      <c r="F223" s="30">
        <f>IF(A223="","",$G$8)</f>
        <v>50.0</v>
      </c>
      <c r="G223" s="30">
        <f>IF(A223="","",G222-E223)</f>
        <v>37214.4</v>
      </c>
    </row>
    <row r="224">
      <c r="A224" s="27">
        <f>IF(207&lt;=($C$9*12),207,"")</f>
        <v>207</v>
      </c>
      <c r="B224" s="28">
        <f>IF(A224="","",EDATE($C$10,A224-1))</f>
        <v>52632</v>
      </c>
      <c r="C224" s="29">
        <f>IF(A224="","",D224+E224+F224)</f>
        <v>1199.67</v>
      </c>
      <c r="D224" s="30">
        <f>IF(A224="","",ROUND(G223*$C$8/12,2))</f>
        <v>105.44</v>
      </c>
      <c r="E224" s="30">
        <f>IF(A224="","",IF(A224=($C$9*12),G223,$G$7-D224))</f>
        <v>1044.23</v>
      </c>
      <c r="F224" s="30">
        <f>IF(A224="","",$G$8)</f>
        <v>50.0</v>
      </c>
      <c r="G224" s="30">
        <f>IF(A224="","",G223-E224)</f>
        <v>36170.17</v>
      </c>
    </row>
    <row r="225">
      <c r="A225" s="27">
        <f>IF(208&lt;=($C$9*12),208,"")</f>
        <v>208</v>
      </c>
      <c r="B225" s="28">
        <f>IF(A225="","",EDATE($C$10,A225-1))</f>
        <v>52661</v>
      </c>
      <c r="C225" s="29">
        <f>IF(A225="","",D225+E225+F225)</f>
        <v>1199.67</v>
      </c>
      <c r="D225" s="30">
        <f>IF(A225="","",ROUND(G224*$C$8/12,2))</f>
        <v>102.48</v>
      </c>
      <c r="E225" s="30">
        <f>IF(A225="","",IF(A225=($C$9*12),G224,$G$7-D225))</f>
        <v>1047.19</v>
      </c>
      <c r="F225" s="30">
        <f>IF(A225="","",$G$8)</f>
        <v>50.0</v>
      </c>
      <c r="G225" s="30">
        <f>IF(A225="","",G224-E225)</f>
        <v>35122.98</v>
      </c>
    </row>
    <row r="226">
      <c r="A226" s="27">
        <f>IF(209&lt;=($C$9*12),209,"")</f>
        <v>209</v>
      </c>
      <c r="B226" s="28">
        <f>IF(A226="","",EDATE($C$10,A226-1))</f>
        <v>52692</v>
      </c>
      <c r="C226" s="29">
        <f>IF(A226="","",D226+E226+F226)</f>
        <v>1199.67</v>
      </c>
      <c r="D226" s="30">
        <f>IF(A226="","",ROUND(G225*$C$8/12,2))</f>
        <v>99.52</v>
      </c>
      <c r="E226" s="30">
        <f>IF(A226="","",IF(A226=($C$9*12),G225,$G$7-D226))</f>
        <v>1050.15</v>
      </c>
      <c r="F226" s="30">
        <f>IF(A226="","",$G$8)</f>
        <v>50.0</v>
      </c>
      <c r="G226" s="30">
        <f>IF(A226="","",G225-E226)</f>
        <v>34072.83</v>
      </c>
    </row>
    <row r="227">
      <c r="A227" s="27">
        <f>IF(210&lt;=($C$9*12),210,"")</f>
        <v>210</v>
      </c>
      <c r="B227" s="28">
        <f>IF(A227="","",EDATE($C$10,A227-1))</f>
        <v>52722</v>
      </c>
      <c r="C227" s="29">
        <f>IF(A227="","",D227+E227+F227)</f>
        <v>1199.67</v>
      </c>
      <c r="D227" s="30">
        <f>IF(A227="","",ROUND(G226*$C$8/12,2))</f>
        <v>96.54</v>
      </c>
      <c r="E227" s="30">
        <f>IF(A227="","",IF(A227=($C$9*12),G226,$G$7-D227))</f>
        <v>1053.13</v>
      </c>
      <c r="F227" s="30">
        <f>IF(A227="","",$G$8)</f>
        <v>50.0</v>
      </c>
      <c r="G227" s="30">
        <f>IF(A227="","",G226-E227)</f>
        <v>33019.7</v>
      </c>
    </row>
    <row r="228">
      <c r="A228" s="27">
        <f>IF(211&lt;=($C$9*12),211,"")</f>
        <v>211</v>
      </c>
      <c r="B228" s="28">
        <f>IF(A228="","",EDATE($C$10,A228-1))</f>
        <v>52753</v>
      </c>
      <c r="C228" s="29">
        <f>IF(A228="","",D228+E228+F228)</f>
        <v>1199.67</v>
      </c>
      <c r="D228" s="30">
        <f>IF(A228="","",ROUND(G227*$C$8/12,2))</f>
        <v>93.56</v>
      </c>
      <c r="E228" s="30">
        <f>IF(A228="","",IF(A228=($C$9*12),G227,$G$7-D228))</f>
        <v>1056.11</v>
      </c>
      <c r="F228" s="30">
        <f>IF(A228="","",$G$8)</f>
        <v>50.0</v>
      </c>
      <c r="G228" s="30">
        <f>IF(A228="","",G227-E228)</f>
        <v>31963.59</v>
      </c>
    </row>
    <row r="229">
      <c r="A229" s="27">
        <f>IF(212&lt;=($C$9*12),212,"")</f>
        <v>212</v>
      </c>
      <c r="B229" s="28">
        <f>IF(A229="","",EDATE($C$10,A229-1))</f>
        <v>52783</v>
      </c>
      <c r="C229" s="29">
        <f>IF(A229="","",D229+E229+F229)</f>
        <v>1199.67</v>
      </c>
      <c r="D229" s="30">
        <f>IF(A229="","",ROUND(G228*$C$8/12,2))</f>
        <v>90.56</v>
      </c>
      <c r="E229" s="30">
        <f>IF(A229="","",IF(A229=($C$9*12),G228,$G$7-D229))</f>
        <v>1059.11</v>
      </c>
      <c r="F229" s="30">
        <f>IF(A229="","",$G$8)</f>
        <v>50.0</v>
      </c>
      <c r="G229" s="30">
        <f>IF(A229="","",G228-E229)</f>
        <v>30904.48</v>
      </c>
    </row>
    <row r="230">
      <c r="A230" s="27">
        <f>IF(213&lt;=($C$9*12),213,"")</f>
        <v>213</v>
      </c>
      <c r="B230" s="28">
        <f>IF(A230="","",EDATE($C$10,A230-1))</f>
        <v>52814</v>
      </c>
      <c r="C230" s="29">
        <f>IF(A230="","",D230+E230+F230)</f>
        <v>1199.67</v>
      </c>
      <c r="D230" s="30">
        <f>IF(A230="","",ROUND(G229*$C$8/12,2))</f>
        <v>87.56</v>
      </c>
      <c r="E230" s="30">
        <f>IF(A230="","",IF(A230=($C$9*12),G229,$G$7-D230))</f>
        <v>1062.11</v>
      </c>
      <c r="F230" s="30">
        <f>IF(A230="","",$G$8)</f>
        <v>50.0</v>
      </c>
      <c r="G230" s="30">
        <f>IF(A230="","",G229-E230)</f>
        <v>29842.37</v>
      </c>
    </row>
    <row r="231">
      <c r="A231" s="27">
        <f>IF(214&lt;=($C$9*12),214,"")</f>
        <v>214</v>
      </c>
      <c r="B231" s="28">
        <f>IF(A231="","",EDATE($C$10,A231-1))</f>
        <v>52845</v>
      </c>
      <c r="C231" s="29">
        <f>IF(A231="","",D231+E231+F231)</f>
        <v>1199.67</v>
      </c>
      <c r="D231" s="30">
        <f>IF(A231="","",ROUND(G230*$C$8/12,2))</f>
        <v>84.55</v>
      </c>
      <c r="E231" s="30">
        <f>IF(A231="","",IF(A231=($C$9*12),G230,$G$7-D231))</f>
        <v>1065.12</v>
      </c>
      <c r="F231" s="30">
        <f>IF(A231="","",$G$8)</f>
        <v>50.0</v>
      </c>
      <c r="G231" s="30">
        <f>IF(A231="","",G230-E231)</f>
        <v>28777.25</v>
      </c>
    </row>
    <row r="232">
      <c r="A232" s="27">
        <f>IF(215&lt;=($C$9*12),215,"")</f>
        <v>215</v>
      </c>
      <c r="B232" s="28">
        <f>IF(A232="","",EDATE($C$10,A232-1))</f>
        <v>52875</v>
      </c>
      <c r="C232" s="29">
        <f>IF(A232="","",D232+E232+F232)</f>
        <v>1199.67</v>
      </c>
      <c r="D232" s="30">
        <f>IF(A232="","",ROUND(G231*$C$8/12,2))</f>
        <v>81.54</v>
      </c>
      <c r="E232" s="30">
        <f>IF(A232="","",IF(A232=($C$9*12),G231,$G$7-D232))</f>
        <v>1068.13</v>
      </c>
      <c r="F232" s="30">
        <f>IF(A232="","",$G$8)</f>
        <v>50.0</v>
      </c>
      <c r="G232" s="30">
        <f>IF(A232="","",G231-E232)</f>
        <v>27709.12</v>
      </c>
    </row>
    <row r="233">
      <c r="A233" s="31">
        <f>IF(216&lt;=($C$9*12),216,"")</f>
        <v>216</v>
      </c>
      <c r="B233" s="32">
        <f>IF(A233="","",EDATE($C$10,A233-1))</f>
        <v>52906</v>
      </c>
      <c r="C233" s="33">
        <f>IF(A233="","",D233+E233+F233)</f>
        <v>1199.67</v>
      </c>
      <c r="D233" s="34">
        <f>IF(A233="","",ROUND(G232*$C$8/12,2))</f>
        <v>78.51</v>
      </c>
      <c r="E233" s="34">
        <f>IF(A233="","",IF(A233=($C$9*12),G232,$G$7-D233))</f>
        <v>1071.16</v>
      </c>
      <c r="F233" s="34">
        <f>IF(A233="","",$G$8)</f>
        <v>50.0</v>
      </c>
      <c r="G233" s="34">
        <f>IF(A233="","",G232-E233)</f>
        <v>26637.96</v>
      </c>
    </row>
    <row r="234">
      <c r="A234" s="27">
        <f>IF(217&lt;=($C$9*12),217,"")</f>
        <v>217</v>
      </c>
      <c r="B234" s="28">
        <f>IF(A234="","",EDATE($C$10,A234-1))</f>
        <v>52936</v>
      </c>
      <c r="C234" s="29">
        <f>IF(A234="","",D234+E234+F234)</f>
        <v>1199.67</v>
      </c>
      <c r="D234" s="30">
        <f>IF(A234="","",ROUND(G233*$C$8/12,2))</f>
        <v>75.47</v>
      </c>
      <c r="E234" s="30">
        <f>IF(A234="","",IF(A234=($C$9*12),G233,$G$7-D234))</f>
        <v>1074.2</v>
      </c>
      <c r="F234" s="30">
        <f>IF(A234="","",$G$8)</f>
        <v>50.0</v>
      </c>
      <c r="G234" s="30">
        <f>IF(A234="","",G233-E234)</f>
        <v>25563.76</v>
      </c>
    </row>
    <row r="235">
      <c r="A235" s="27">
        <f>IF(218&lt;=($C$9*12),218,"")</f>
        <v>218</v>
      </c>
      <c r="B235" s="28">
        <f>IF(A235="","",EDATE($C$10,A235-1))</f>
        <v>52967</v>
      </c>
      <c r="C235" s="29">
        <f>IF(A235="","",D235+E235+F235)</f>
        <v>1199.67</v>
      </c>
      <c r="D235" s="30">
        <f>IF(A235="","",ROUND(G234*$C$8/12,2))</f>
        <v>72.43</v>
      </c>
      <c r="E235" s="30">
        <f>IF(A235="","",IF(A235=($C$9*12),G234,$G$7-D235))</f>
        <v>1077.24</v>
      </c>
      <c r="F235" s="30">
        <f>IF(A235="","",$G$8)</f>
        <v>50.0</v>
      </c>
      <c r="G235" s="30">
        <f>IF(A235="","",G234-E235)</f>
        <v>24486.52</v>
      </c>
    </row>
    <row r="236">
      <c r="A236" s="27">
        <f>IF(219&lt;=($C$9*12),219,"")</f>
        <v>219</v>
      </c>
      <c r="B236" s="28">
        <f>IF(A236="","",EDATE($C$10,A236-1))</f>
        <v>52998</v>
      </c>
      <c r="C236" s="29">
        <f>IF(A236="","",D236+E236+F236)</f>
        <v>1199.67</v>
      </c>
      <c r="D236" s="30">
        <f>IF(A236="","",ROUND(G235*$C$8/12,2))</f>
        <v>69.38</v>
      </c>
      <c r="E236" s="30">
        <f>IF(A236="","",IF(A236=($C$9*12),G235,$G$7-D236))</f>
        <v>1080.29</v>
      </c>
      <c r="F236" s="30">
        <f>IF(A236="","",$G$8)</f>
        <v>50.0</v>
      </c>
      <c r="G236" s="30">
        <f>IF(A236="","",G235-E236)</f>
        <v>23406.23</v>
      </c>
    </row>
    <row r="237">
      <c r="A237" s="27">
        <f>IF(220&lt;=($C$9*12),220,"")</f>
        <v>220</v>
      </c>
      <c r="B237" s="28">
        <f>IF(A237="","",EDATE($C$10,A237-1))</f>
        <v>53026</v>
      </c>
      <c r="C237" s="29">
        <f>IF(A237="","",D237+E237+F237)</f>
        <v>1199.67</v>
      </c>
      <c r="D237" s="30">
        <f>IF(A237="","",ROUND(G236*$C$8/12,2))</f>
        <v>66.32</v>
      </c>
      <c r="E237" s="30">
        <f>IF(A237="","",IF(A237=($C$9*12),G236,$G$7-D237))</f>
        <v>1083.35</v>
      </c>
      <c r="F237" s="30">
        <f>IF(A237="","",$G$8)</f>
        <v>50.0</v>
      </c>
      <c r="G237" s="30">
        <f>IF(A237="","",G236-E237)</f>
        <v>22322.88</v>
      </c>
    </row>
    <row r="238">
      <c r="A238" s="27">
        <f>IF(221&lt;=($C$9*12),221,"")</f>
        <v>221</v>
      </c>
      <c r="B238" s="28">
        <f>IF(A238="","",EDATE($C$10,A238-1))</f>
        <v>53057</v>
      </c>
      <c r="C238" s="29">
        <f>IF(A238="","",D238+E238+F238)</f>
        <v>1199.67</v>
      </c>
      <c r="D238" s="30">
        <f>IF(A238="","",ROUND(G237*$C$8/12,2))</f>
        <v>63.25</v>
      </c>
      <c r="E238" s="30">
        <f>IF(A238="","",IF(A238=($C$9*12),G237,$G$7-D238))</f>
        <v>1086.42</v>
      </c>
      <c r="F238" s="30">
        <f>IF(A238="","",$G$8)</f>
        <v>50.0</v>
      </c>
      <c r="G238" s="30">
        <f>IF(A238="","",G237-E238)</f>
        <v>21236.46</v>
      </c>
    </row>
    <row r="239">
      <c r="A239" s="27">
        <f>IF(222&lt;=($C$9*12),222,"")</f>
        <v>222</v>
      </c>
      <c r="B239" s="28">
        <f>IF(A239="","",EDATE($C$10,A239-1))</f>
        <v>53087</v>
      </c>
      <c r="C239" s="29">
        <f>IF(A239="","",D239+E239+F239)</f>
        <v>1199.67</v>
      </c>
      <c r="D239" s="30">
        <f>IF(A239="","",ROUND(G238*$C$8/12,2))</f>
        <v>60.17</v>
      </c>
      <c r="E239" s="30">
        <f>IF(A239="","",IF(A239=($C$9*12),G238,$G$7-D239))</f>
        <v>1089.5</v>
      </c>
      <c r="F239" s="30">
        <f>IF(A239="","",$G$8)</f>
        <v>50.0</v>
      </c>
      <c r="G239" s="30">
        <f>IF(A239="","",G238-E239)</f>
        <v>20146.96</v>
      </c>
    </row>
    <row r="240">
      <c r="A240" s="27">
        <f>IF(223&lt;=($C$9*12),223,"")</f>
        <v>223</v>
      </c>
      <c r="B240" s="28">
        <f>IF(A240="","",EDATE($C$10,A240-1))</f>
        <v>53118</v>
      </c>
      <c r="C240" s="29">
        <f>IF(A240="","",D240+E240+F240)</f>
        <v>1199.67</v>
      </c>
      <c r="D240" s="30">
        <f>IF(A240="","",ROUND(G239*$C$8/12,2))</f>
        <v>57.08</v>
      </c>
      <c r="E240" s="30">
        <f>IF(A240="","",IF(A240=($C$9*12),G239,$G$7-D240))</f>
        <v>1092.59</v>
      </c>
      <c r="F240" s="30">
        <f>IF(A240="","",$G$8)</f>
        <v>50.0</v>
      </c>
      <c r="G240" s="30">
        <f>IF(A240="","",G239-E240)</f>
        <v>19054.37</v>
      </c>
    </row>
    <row r="241">
      <c r="A241" s="27">
        <f>IF(224&lt;=($C$9*12),224,"")</f>
        <v>224</v>
      </c>
      <c r="B241" s="28">
        <f>IF(A241="","",EDATE($C$10,A241-1))</f>
        <v>53148</v>
      </c>
      <c r="C241" s="29">
        <f>IF(A241="","",D241+E241+F241)</f>
        <v>1199.67</v>
      </c>
      <c r="D241" s="30">
        <f>IF(A241="","",ROUND(G240*$C$8/12,2))</f>
        <v>53.99</v>
      </c>
      <c r="E241" s="30">
        <f>IF(A241="","",IF(A241=($C$9*12),G240,$G$7-D241))</f>
        <v>1095.68</v>
      </c>
      <c r="F241" s="30">
        <f>IF(A241="","",$G$8)</f>
        <v>50.0</v>
      </c>
      <c r="G241" s="30">
        <f>IF(A241="","",G240-E241)</f>
        <v>17958.69</v>
      </c>
    </row>
    <row r="242">
      <c r="A242" s="27">
        <f>IF(225&lt;=($C$9*12),225,"")</f>
        <v>225</v>
      </c>
      <c r="B242" s="28">
        <f>IF(A242="","",EDATE($C$10,A242-1))</f>
        <v>53179</v>
      </c>
      <c r="C242" s="29">
        <f>IF(A242="","",D242+E242+F242)</f>
        <v>1199.67</v>
      </c>
      <c r="D242" s="30">
        <f>IF(A242="","",ROUND(G241*$C$8/12,2))</f>
        <v>50.88</v>
      </c>
      <c r="E242" s="30">
        <f>IF(A242="","",IF(A242=($C$9*12),G241,$G$7-D242))</f>
        <v>1098.79</v>
      </c>
      <c r="F242" s="30">
        <f>IF(A242="","",$G$8)</f>
        <v>50.0</v>
      </c>
      <c r="G242" s="30">
        <f>IF(A242="","",G241-E242)</f>
        <v>16859.9</v>
      </c>
    </row>
    <row r="243">
      <c r="A243" s="27">
        <f>IF(226&lt;=($C$9*12),226,"")</f>
        <v>226</v>
      </c>
      <c r="B243" s="28">
        <f>IF(A243="","",EDATE($C$10,A243-1))</f>
        <v>53210</v>
      </c>
      <c r="C243" s="29">
        <f>IF(A243="","",D243+E243+F243)</f>
        <v>1199.67</v>
      </c>
      <c r="D243" s="30">
        <f>IF(A243="","",ROUND(G242*$C$8/12,2))</f>
        <v>47.77</v>
      </c>
      <c r="E243" s="30">
        <f>IF(A243="","",IF(A243=($C$9*12),G242,$G$7-D243))</f>
        <v>1101.9</v>
      </c>
      <c r="F243" s="30">
        <f>IF(A243="","",$G$8)</f>
        <v>50.0</v>
      </c>
      <c r="G243" s="30">
        <f>IF(A243="","",G242-E243)</f>
        <v>15758.0</v>
      </c>
    </row>
    <row r="244">
      <c r="A244" s="27">
        <f>IF(227&lt;=($C$9*12),227,"")</f>
        <v>227</v>
      </c>
      <c r="B244" s="28">
        <f>IF(A244="","",EDATE($C$10,A244-1))</f>
        <v>53240</v>
      </c>
      <c r="C244" s="29">
        <f>IF(A244="","",D244+E244+F244)</f>
        <v>1199.67</v>
      </c>
      <c r="D244" s="30">
        <f>IF(A244="","",ROUND(G243*$C$8/12,2))</f>
        <v>44.65</v>
      </c>
      <c r="E244" s="30">
        <f>IF(A244="","",IF(A244=($C$9*12),G243,$G$7-D244))</f>
        <v>1105.02</v>
      </c>
      <c r="F244" s="30">
        <f>IF(A244="","",$G$8)</f>
        <v>50.0</v>
      </c>
      <c r="G244" s="30">
        <f>IF(A244="","",G243-E244)</f>
        <v>14652.98</v>
      </c>
    </row>
    <row r="245">
      <c r="A245" s="31">
        <f>IF(228&lt;=($C$9*12),228,"")</f>
        <v>228</v>
      </c>
      <c r="B245" s="32">
        <f>IF(A245="","",EDATE($C$10,A245-1))</f>
        <v>53271</v>
      </c>
      <c r="C245" s="33">
        <f>IF(A245="","",D245+E245+F245)</f>
        <v>1199.67</v>
      </c>
      <c r="D245" s="34">
        <f>IF(A245="","",ROUND(G244*$C$8/12,2))</f>
        <v>41.52</v>
      </c>
      <c r="E245" s="34">
        <f>IF(A245="","",IF(A245=($C$9*12),G244,$G$7-D245))</f>
        <v>1108.15</v>
      </c>
      <c r="F245" s="34">
        <f>IF(A245="","",$G$8)</f>
        <v>50.0</v>
      </c>
      <c r="G245" s="34">
        <f>IF(A245="","",G244-E245)</f>
        <v>13544.83</v>
      </c>
    </row>
    <row r="246">
      <c r="A246" s="27">
        <f>IF(229&lt;=($C$9*12),229,"")</f>
        <v>229</v>
      </c>
      <c r="B246" s="28">
        <f>IF(A246="","",EDATE($C$10,A246-1))</f>
        <v>53301</v>
      </c>
      <c r="C246" s="29">
        <f>IF(A246="","",D246+E246+F246)</f>
        <v>1199.67</v>
      </c>
      <c r="D246" s="30">
        <f>IF(A246="","",ROUND(G245*$C$8/12,2))</f>
        <v>38.38</v>
      </c>
      <c r="E246" s="30">
        <f>IF(A246="","",IF(A246=($C$9*12),G245,$G$7-D246))</f>
        <v>1111.29</v>
      </c>
      <c r="F246" s="30">
        <f>IF(A246="","",$G$8)</f>
        <v>50.0</v>
      </c>
      <c r="G246" s="30">
        <f>IF(A246="","",G245-E246)</f>
        <v>12433.54</v>
      </c>
    </row>
    <row r="247">
      <c r="A247" s="27">
        <f>IF(230&lt;=($C$9*12),230,"")</f>
        <v>230</v>
      </c>
      <c r="B247" s="28">
        <f>IF(A247="","",EDATE($C$10,A247-1))</f>
        <v>53332</v>
      </c>
      <c r="C247" s="29">
        <f>IF(A247="","",D247+E247+F247)</f>
        <v>1199.67</v>
      </c>
      <c r="D247" s="30">
        <f>IF(A247="","",ROUND(G246*$C$8/12,2))</f>
        <v>35.23</v>
      </c>
      <c r="E247" s="30">
        <f>IF(A247="","",IF(A247=($C$9*12),G246,$G$7-D247))</f>
        <v>1114.44</v>
      </c>
      <c r="F247" s="30">
        <f>IF(A247="","",$G$8)</f>
        <v>50.0</v>
      </c>
      <c r="G247" s="30">
        <f>IF(A247="","",G246-E247)</f>
        <v>11319.1</v>
      </c>
    </row>
    <row r="248">
      <c r="A248" s="27">
        <f>IF(231&lt;=($C$9*12),231,"")</f>
        <v>231</v>
      </c>
      <c r="B248" s="28">
        <f>IF(A248="","",EDATE($C$10,A248-1))</f>
        <v>53363</v>
      </c>
      <c r="C248" s="29">
        <f>IF(A248="","",D248+E248+F248)</f>
        <v>1199.67</v>
      </c>
      <c r="D248" s="30">
        <f>IF(A248="","",ROUND(G247*$C$8/12,2))</f>
        <v>32.07</v>
      </c>
      <c r="E248" s="30">
        <f>IF(A248="","",IF(A248=($C$9*12),G247,$G$7-D248))</f>
        <v>1117.6</v>
      </c>
      <c r="F248" s="30">
        <f>IF(A248="","",$G$8)</f>
        <v>50.0</v>
      </c>
      <c r="G248" s="30">
        <f>IF(A248="","",G247-E248)</f>
        <v>10201.5</v>
      </c>
    </row>
    <row r="249">
      <c r="A249" s="27">
        <f>IF(232&lt;=($C$9*12),232,"")</f>
        <v>232</v>
      </c>
      <c r="B249" s="28">
        <f>IF(A249="","",EDATE($C$10,A249-1))</f>
        <v>53391</v>
      </c>
      <c r="C249" s="29">
        <f>IF(A249="","",D249+E249+F249)</f>
        <v>1199.67</v>
      </c>
      <c r="D249" s="30">
        <f>IF(A249="","",ROUND(G248*$C$8/12,2))</f>
        <v>28.9</v>
      </c>
      <c r="E249" s="30">
        <f>IF(A249="","",IF(A249=($C$9*12),G248,$G$7-D249))</f>
        <v>1120.77</v>
      </c>
      <c r="F249" s="30">
        <f>IF(A249="","",$G$8)</f>
        <v>50.0</v>
      </c>
      <c r="G249" s="30">
        <f>IF(A249="","",G248-E249)</f>
        <v>9080.73</v>
      </c>
    </row>
    <row r="250">
      <c r="A250" s="27">
        <f>IF(233&lt;=($C$9*12),233,"")</f>
        <v>233</v>
      </c>
      <c r="B250" s="28">
        <f>IF(A250="","",EDATE($C$10,A250-1))</f>
        <v>53422</v>
      </c>
      <c r="C250" s="29">
        <f>IF(A250="","",D250+E250+F250)</f>
        <v>1199.67</v>
      </c>
      <c r="D250" s="30">
        <f>IF(A250="","",ROUND(G249*$C$8/12,2))</f>
        <v>25.73</v>
      </c>
      <c r="E250" s="30">
        <f>IF(A250="","",IF(A250=($C$9*12),G249,$G$7-D250))</f>
        <v>1123.94</v>
      </c>
      <c r="F250" s="30">
        <f>IF(A250="","",$G$8)</f>
        <v>50.0</v>
      </c>
      <c r="G250" s="30">
        <f>IF(A250="","",G249-E250)</f>
        <v>7956.79</v>
      </c>
    </row>
    <row r="251">
      <c r="A251" s="27">
        <f>IF(234&lt;=($C$9*12),234,"")</f>
        <v>234</v>
      </c>
      <c r="B251" s="28">
        <f>IF(A251="","",EDATE($C$10,A251-1))</f>
        <v>53452</v>
      </c>
      <c r="C251" s="29">
        <f>IF(A251="","",D251+E251+F251)</f>
        <v>1199.67</v>
      </c>
      <c r="D251" s="30">
        <f>IF(A251="","",ROUND(G250*$C$8/12,2))</f>
        <v>22.54</v>
      </c>
      <c r="E251" s="30">
        <f>IF(A251="","",IF(A251=($C$9*12),G250,$G$7-D251))</f>
        <v>1127.13</v>
      </c>
      <c r="F251" s="30">
        <f>IF(A251="","",$G$8)</f>
        <v>50.0</v>
      </c>
      <c r="G251" s="30">
        <f>IF(A251="","",G250-E251)</f>
        <v>6829.66</v>
      </c>
    </row>
    <row r="252">
      <c r="A252" s="27">
        <f>IF(235&lt;=($C$9*12),235,"")</f>
        <v>235</v>
      </c>
      <c r="B252" s="28">
        <f>IF(A252="","",EDATE($C$10,A252-1))</f>
        <v>53483</v>
      </c>
      <c r="C252" s="29">
        <f>IF(A252="","",D252+E252+F252)</f>
        <v>1199.67</v>
      </c>
      <c r="D252" s="30">
        <f>IF(A252="","",ROUND(G251*$C$8/12,2))</f>
        <v>19.35</v>
      </c>
      <c r="E252" s="30">
        <f>IF(A252="","",IF(A252=($C$9*12),G251,$G$7-D252))</f>
        <v>1130.32</v>
      </c>
      <c r="F252" s="30">
        <f>IF(A252="","",$G$8)</f>
        <v>50.0</v>
      </c>
      <c r="G252" s="30">
        <f>IF(A252="","",G251-E252)</f>
        <v>5699.34</v>
      </c>
    </row>
    <row r="253">
      <c r="A253" s="27">
        <f>IF(236&lt;=($C$9*12),236,"")</f>
        <v>236</v>
      </c>
      <c r="B253" s="28">
        <f>IF(A253="","",EDATE($C$10,A253-1))</f>
        <v>53513</v>
      </c>
      <c r="C253" s="29">
        <f>IF(A253="","",D253+E253+F253)</f>
        <v>1199.67</v>
      </c>
      <c r="D253" s="30">
        <f>IF(A253="","",ROUND(G252*$C$8/12,2))</f>
        <v>16.15</v>
      </c>
      <c r="E253" s="30">
        <f>IF(A253="","",IF(A253=($C$9*12),G252,$G$7-D253))</f>
        <v>1133.52</v>
      </c>
      <c r="F253" s="30">
        <f>IF(A253="","",$G$8)</f>
        <v>50.0</v>
      </c>
      <c r="G253" s="30">
        <f>IF(A253="","",G252-E253)</f>
        <v>4565.82</v>
      </c>
    </row>
    <row r="254">
      <c r="A254" s="27">
        <f>IF(237&lt;=($C$9*12),237,"")</f>
        <v>237</v>
      </c>
      <c r="B254" s="28">
        <f>IF(A254="","",EDATE($C$10,A254-1))</f>
        <v>53544</v>
      </c>
      <c r="C254" s="29">
        <f>IF(A254="","",D254+E254+F254)</f>
        <v>1199.67</v>
      </c>
      <c r="D254" s="30">
        <f>IF(A254="","",ROUND(G253*$C$8/12,2))</f>
        <v>12.94</v>
      </c>
      <c r="E254" s="30">
        <f>IF(A254="","",IF(A254=($C$9*12),G253,$G$7-D254))</f>
        <v>1136.73</v>
      </c>
      <c r="F254" s="30">
        <f>IF(A254="","",$G$8)</f>
        <v>50.0</v>
      </c>
      <c r="G254" s="30">
        <f>IF(A254="","",G253-E254)</f>
        <v>3429.09</v>
      </c>
    </row>
    <row r="255">
      <c r="A255" s="27">
        <f>IF(238&lt;=($C$9*12),238,"")</f>
        <v>238</v>
      </c>
      <c r="B255" s="28">
        <f>IF(A255="","",EDATE($C$10,A255-1))</f>
        <v>53575</v>
      </c>
      <c r="C255" s="29">
        <f>IF(A255="","",D255+E255+F255)</f>
        <v>1199.67</v>
      </c>
      <c r="D255" s="30">
        <f>IF(A255="","",ROUND(G254*$C$8/12,2))</f>
        <v>9.72</v>
      </c>
      <c r="E255" s="30">
        <f>IF(A255="","",IF(A255=($C$9*12),G254,$G$7-D255))</f>
        <v>1139.95</v>
      </c>
      <c r="F255" s="30">
        <f>IF(A255="","",$G$8)</f>
        <v>50.0</v>
      </c>
      <c r="G255" s="30">
        <f>IF(A255="","",G254-E255)</f>
        <v>2289.14</v>
      </c>
    </row>
    <row r="256">
      <c r="A256" s="27">
        <f>IF(239&lt;=($C$9*12),239,"")</f>
        <v>239</v>
      </c>
      <c r="B256" s="28">
        <f>IF(A256="","",EDATE($C$10,A256-1))</f>
        <v>53605</v>
      </c>
      <c r="C256" s="29">
        <f>IF(A256="","",D256+E256+F256)</f>
        <v>1199.67</v>
      </c>
      <c r="D256" s="30">
        <f>IF(A256="","",ROUND(G255*$C$8/12,2))</f>
        <v>6.49</v>
      </c>
      <c r="E256" s="30">
        <f>IF(A256="","",IF(A256=($C$9*12),G255,$G$7-D256))</f>
        <v>1143.18</v>
      </c>
      <c r="F256" s="30">
        <f>IF(A256="","",$G$8)</f>
        <v>50.0</v>
      </c>
      <c r="G256" s="30">
        <f>IF(A256="","",G255-E256)</f>
        <v>1145.96</v>
      </c>
    </row>
    <row r="257">
      <c r="A257" s="31">
        <f>IF(240&lt;=($C$9*12),240,"")</f>
        <v>240</v>
      </c>
      <c r="B257" s="32">
        <f>IF(A257="","",EDATE($C$10,A257-1))</f>
        <v>53636</v>
      </c>
      <c r="C257" s="33">
        <f>IF(A257="","",D257+E257+F257)</f>
        <v>1199.21</v>
      </c>
      <c r="D257" s="34">
        <f>IF(A257="","",ROUND(G256*$C$8/12,2))</f>
        <v>3.25</v>
      </c>
      <c r="E257" s="34">
        <f>IF(A257="","",IF(A257=($C$9*12),G256,$G$7-D257))</f>
        <v>1145.96</v>
      </c>
      <c r="F257" s="34">
        <f>IF(A257="","",$G$8)</f>
        <v>50.0</v>
      </c>
      <c r="G257" s="34">
        <f>IF(A257="","",G256-E257)</f>
        <v>0.0</v>
      </c>
    </row>
    <row r="258">
      <c r="A258" s="27" t="str">
        <f>IF(241&lt;=($C$9*12),241,"")</f>
        <v/>
      </c>
      <c r="B258" s="28" t="str">
        <f>IF(A258="","",EDATE($C$10,A258-1))</f>
        <v/>
      </c>
      <c r="C258" s="29" t="str">
        <f>IF(A258="","",D258+E258+F258)</f>
        <v/>
      </c>
      <c r="D258" s="30" t="str">
        <f>IF(A258="","",ROUND(G257*$C$8/12,2))</f>
        <v/>
      </c>
      <c r="E258" s="30" t="str">
        <f>IF(A258="","",IF(A258=($C$9*12),G257,$G$7-D258))</f>
        <v/>
      </c>
      <c r="F258" s="30" t="str">
        <f>IF(A258="","",$G$8)</f>
        <v/>
      </c>
      <c r="G258" s="30" t="str">
        <f>IF(A258="","",G257-E258)</f>
        <v/>
      </c>
    </row>
    <row r="259">
      <c r="A259" s="27" t="str">
        <f>IF(242&lt;=($C$9*12),242,"")</f>
        <v/>
      </c>
      <c r="B259" s="28" t="str">
        <f>IF(A259="","",EDATE($C$10,A259-1))</f>
        <v/>
      </c>
      <c r="C259" s="29" t="str">
        <f>IF(A259="","",D259+E259+F259)</f>
        <v/>
      </c>
      <c r="D259" s="30" t="str">
        <f>IF(A259="","",ROUND(G258*$C$8/12,2))</f>
        <v/>
      </c>
      <c r="E259" s="30" t="str">
        <f>IF(A259="","",IF(A259=($C$9*12),G258,$G$7-D259))</f>
        <v/>
      </c>
      <c r="F259" s="30" t="str">
        <f>IF(A259="","",$G$8)</f>
        <v/>
      </c>
      <c r="G259" s="30" t="str">
        <f>IF(A259="","",G258-E259)</f>
        <v/>
      </c>
    </row>
    <row r="260">
      <c r="A260" s="27" t="str">
        <f>IF(243&lt;=($C$9*12),243,"")</f>
        <v/>
      </c>
      <c r="B260" s="28" t="str">
        <f>IF(A260="","",EDATE($C$10,A260-1))</f>
        <v/>
      </c>
      <c r="C260" s="29" t="str">
        <f>IF(A260="","",D260+E260+F260)</f>
        <v/>
      </c>
      <c r="D260" s="30" t="str">
        <f>IF(A260="","",ROUND(G259*$C$8/12,2))</f>
        <v/>
      </c>
      <c r="E260" s="30" t="str">
        <f>IF(A260="","",IF(A260=($C$9*12),G259,$G$7-D260))</f>
        <v/>
      </c>
      <c r="F260" s="30" t="str">
        <f>IF(A260="","",$G$8)</f>
        <v/>
      </c>
      <c r="G260" s="30" t="str">
        <f>IF(A260="","",G259-E260)</f>
        <v/>
      </c>
    </row>
    <row r="261">
      <c r="A261" s="27" t="str">
        <f>IF(244&lt;=($C$9*12),244,"")</f>
        <v/>
      </c>
      <c r="B261" s="28" t="str">
        <f>IF(A261="","",EDATE($C$10,A261-1))</f>
        <v/>
      </c>
      <c r="C261" s="29" t="str">
        <f>IF(A261="","",D261+E261+F261)</f>
        <v/>
      </c>
      <c r="D261" s="30" t="str">
        <f>IF(A261="","",ROUND(G260*$C$8/12,2))</f>
        <v/>
      </c>
      <c r="E261" s="30" t="str">
        <f>IF(A261="","",IF(A261=($C$9*12),G260,$G$7-D261))</f>
        <v/>
      </c>
      <c r="F261" s="30" t="str">
        <f>IF(A261="","",$G$8)</f>
        <v/>
      </c>
      <c r="G261" s="30" t="str">
        <f>IF(A261="","",G260-E261)</f>
        <v/>
      </c>
    </row>
    <row r="262">
      <c r="A262" s="27" t="str">
        <f>IF(245&lt;=($C$9*12),245,"")</f>
        <v/>
      </c>
      <c r="B262" s="28" t="str">
        <f>IF(A262="","",EDATE($C$10,A262-1))</f>
        <v/>
      </c>
      <c r="C262" s="29" t="str">
        <f>IF(A262="","",D262+E262+F262)</f>
        <v/>
      </c>
      <c r="D262" s="30" t="str">
        <f>IF(A262="","",ROUND(G261*$C$8/12,2))</f>
        <v/>
      </c>
      <c r="E262" s="30" t="str">
        <f>IF(A262="","",IF(A262=($C$9*12),G261,$G$7-D262))</f>
        <v/>
      </c>
      <c r="F262" s="30" t="str">
        <f>IF(A262="","",$G$8)</f>
        <v/>
      </c>
      <c r="G262" s="30" t="str">
        <f>IF(A262="","",G261-E262)</f>
        <v/>
      </c>
    </row>
    <row r="263">
      <c r="A263" s="27" t="str">
        <f>IF(246&lt;=($C$9*12),246,"")</f>
        <v/>
      </c>
      <c r="B263" s="28" t="str">
        <f>IF(A263="","",EDATE($C$10,A263-1))</f>
        <v/>
      </c>
      <c r="C263" s="29" t="str">
        <f>IF(A263="","",D263+E263+F263)</f>
        <v/>
      </c>
      <c r="D263" s="30" t="str">
        <f>IF(A263="","",ROUND(G262*$C$8/12,2))</f>
        <v/>
      </c>
      <c r="E263" s="30" t="str">
        <f>IF(A263="","",IF(A263=($C$9*12),G262,$G$7-D263))</f>
        <v/>
      </c>
      <c r="F263" s="30" t="str">
        <f>IF(A263="","",$G$8)</f>
        <v/>
      </c>
      <c r="G263" s="30" t="str">
        <f>IF(A263="","",G262-E263)</f>
        <v/>
      </c>
    </row>
    <row r="264">
      <c r="A264" s="27" t="str">
        <f>IF(247&lt;=($C$9*12),247,"")</f>
        <v/>
      </c>
      <c r="B264" s="28" t="str">
        <f>IF(A264="","",EDATE($C$10,A264-1))</f>
        <v/>
      </c>
      <c r="C264" s="29" t="str">
        <f>IF(A264="","",D264+E264+F264)</f>
        <v/>
      </c>
      <c r="D264" s="30" t="str">
        <f>IF(A264="","",ROUND(G263*$C$8/12,2))</f>
        <v/>
      </c>
      <c r="E264" s="30" t="str">
        <f>IF(A264="","",IF(A264=($C$9*12),G263,$G$7-D264))</f>
        <v/>
      </c>
      <c r="F264" s="30" t="str">
        <f>IF(A264="","",$G$8)</f>
        <v/>
      </c>
      <c r="G264" s="30" t="str">
        <f>IF(A264="","",G263-E264)</f>
        <v/>
      </c>
    </row>
    <row r="265">
      <c r="A265" s="27" t="str">
        <f>IF(248&lt;=($C$9*12),248,"")</f>
        <v/>
      </c>
      <c r="B265" s="28" t="str">
        <f>IF(A265="","",EDATE($C$10,A265-1))</f>
        <v/>
      </c>
      <c r="C265" s="29" t="str">
        <f>IF(A265="","",D265+E265+F265)</f>
        <v/>
      </c>
      <c r="D265" s="30" t="str">
        <f>IF(A265="","",ROUND(G264*$C$8/12,2))</f>
        <v/>
      </c>
      <c r="E265" s="30" t="str">
        <f>IF(A265="","",IF(A265=($C$9*12),G264,$G$7-D265))</f>
        <v/>
      </c>
      <c r="F265" s="30" t="str">
        <f>IF(A265="","",$G$8)</f>
        <v/>
      </c>
      <c r="G265" s="30" t="str">
        <f>IF(A265="","",G264-E265)</f>
        <v/>
      </c>
    </row>
    <row r="266">
      <c r="A266" s="27" t="str">
        <f>IF(249&lt;=($C$9*12),249,"")</f>
        <v/>
      </c>
      <c r="B266" s="28" t="str">
        <f>IF(A266="","",EDATE($C$10,A266-1))</f>
        <v/>
      </c>
      <c r="C266" s="29" t="str">
        <f>IF(A266="","",D266+E266+F266)</f>
        <v/>
      </c>
      <c r="D266" s="30" t="str">
        <f>IF(A266="","",ROUND(G265*$C$8/12,2))</f>
        <v/>
      </c>
      <c r="E266" s="30" t="str">
        <f>IF(A266="","",IF(A266=($C$9*12),G265,$G$7-D266))</f>
        <v/>
      </c>
      <c r="F266" s="30" t="str">
        <f>IF(A266="","",$G$8)</f>
        <v/>
      </c>
      <c r="G266" s="30" t="str">
        <f>IF(A266="","",G265-E266)</f>
        <v/>
      </c>
    </row>
    <row r="267">
      <c r="A267" s="27" t="str">
        <f>IF(250&lt;=($C$9*12),250,"")</f>
        <v/>
      </c>
      <c r="B267" s="28" t="str">
        <f>IF(A267="","",EDATE($C$10,A267-1))</f>
        <v/>
      </c>
      <c r="C267" s="29" t="str">
        <f>IF(A267="","",D267+E267+F267)</f>
        <v/>
      </c>
      <c r="D267" s="30" t="str">
        <f>IF(A267="","",ROUND(G266*$C$8/12,2))</f>
        <v/>
      </c>
      <c r="E267" s="30" t="str">
        <f>IF(A267="","",IF(A267=($C$9*12),G266,$G$7-D267))</f>
        <v/>
      </c>
      <c r="F267" s="30" t="str">
        <f>IF(A267="","",$G$8)</f>
        <v/>
      </c>
      <c r="G267" s="30" t="str">
        <f>IF(A267="","",G266-E267)</f>
        <v/>
      </c>
    </row>
    <row r="268">
      <c r="A268" s="27" t="str">
        <f>IF(251&lt;=($C$9*12),251,"")</f>
        <v/>
      </c>
      <c r="B268" s="28" t="str">
        <f>IF(A268="","",EDATE($C$10,A268-1))</f>
        <v/>
      </c>
      <c r="C268" s="29" t="str">
        <f>IF(A268="","",D268+E268+F268)</f>
        <v/>
      </c>
      <c r="D268" s="30" t="str">
        <f>IF(A268="","",ROUND(G267*$C$8/12,2))</f>
        <v/>
      </c>
      <c r="E268" s="30" t="str">
        <f>IF(A268="","",IF(A268=($C$9*12),G267,$G$7-D268))</f>
        <v/>
      </c>
      <c r="F268" s="30" t="str">
        <f>IF(A268="","",$G$8)</f>
        <v/>
      </c>
      <c r="G268" s="30" t="str">
        <f>IF(A268="","",G267-E268)</f>
        <v/>
      </c>
    </row>
    <row r="269">
      <c r="A269" s="31" t="str">
        <f>IF(252&lt;=($C$9*12),252,"")</f>
        <v/>
      </c>
      <c r="B269" s="32" t="str">
        <f>IF(A269="","",EDATE($C$10,A269-1))</f>
        <v/>
      </c>
      <c r="C269" s="33" t="str">
        <f>IF(A269="","",D269+E269+F269)</f>
        <v/>
      </c>
      <c r="D269" s="34" t="str">
        <f>IF(A269="","",ROUND(G268*$C$8/12,2))</f>
        <v/>
      </c>
      <c r="E269" s="34" t="str">
        <f>IF(A269="","",IF(A269=($C$9*12),G268,$G$7-D269))</f>
        <v/>
      </c>
      <c r="F269" s="34" t="str">
        <f>IF(A269="","",$G$8)</f>
        <v/>
      </c>
      <c r="G269" s="34" t="str">
        <f>IF(A269="","",G268-E269)</f>
        <v/>
      </c>
    </row>
    <row r="270">
      <c r="A270" s="27" t="str">
        <f>IF(253&lt;=($C$9*12),253,"")</f>
        <v/>
      </c>
      <c r="B270" s="28" t="str">
        <f>IF(A270="","",EDATE($C$10,A270-1))</f>
        <v/>
      </c>
      <c r="C270" s="29" t="str">
        <f>IF(A270="","",D270+E270+F270)</f>
        <v/>
      </c>
      <c r="D270" s="30" t="str">
        <f>IF(A270="","",ROUND(G269*$C$8/12,2))</f>
        <v/>
      </c>
      <c r="E270" s="30" t="str">
        <f>IF(A270="","",IF(A270=($C$9*12),G269,$G$7-D270))</f>
        <v/>
      </c>
      <c r="F270" s="30" t="str">
        <f>IF(A270="","",$G$8)</f>
        <v/>
      </c>
      <c r="G270" s="30" t="str">
        <f>IF(A270="","",G269-E270)</f>
        <v/>
      </c>
    </row>
    <row r="271">
      <c r="A271" s="27" t="str">
        <f>IF(254&lt;=($C$9*12),254,"")</f>
        <v/>
      </c>
      <c r="B271" s="28" t="str">
        <f>IF(A271="","",EDATE($C$10,A271-1))</f>
        <v/>
      </c>
      <c r="C271" s="29" t="str">
        <f>IF(A271="","",D271+E271+F271)</f>
        <v/>
      </c>
      <c r="D271" s="30" t="str">
        <f>IF(A271="","",ROUND(G270*$C$8/12,2))</f>
        <v/>
      </c>
      <c r="E271" s="30" t="str">
        <f>IF(A271="","",IF(A271=($C$9*12),G270,$G$7-D271))</f>
        <v/>
      </c>
      <c r="F271" s="30" t="str">
        <f>IF(A271="","",$G$8)</f>
        <v/>
      </c>
      <c r="G271" s="30" t="str">
        <f>IF(A271="","",G270-E271)</f>
        <v/>
      </c>
    </row>
    <row r="272">
      <c r="A272" s="27" t="str">
        <f>IF(255&lt;=($C$9*12),255,"")</f>
        <v/>
      </c>
      <c r="B272" s="28" t="str">
        <f>IF(A272="","",EDATE($C$10,A272-1))</f>
        <v/>
      </c>
      <c r="C272" s="29" t="str">
        <f>IF(A272="","",D272+E272+F272)</f>
        <v/>
      </c>
      <c r="D272" s="30" t="str">
        <f>IF(A272="","",ROUND(G271*$C$8/12,2))</f>
        <v/>
      </c>
      <c r="E272" s="30" t="str">
        <f>IF(A272="","",IF(A272=($C$9*12),G271,$G$7-D272))</f>
        <v/>
      </c>
      <c r="F272" s="30" t="str">
        <f>IF(A272="","",$G$8)</f>
        <v/>
      </c>
      <c r="G272" s="30" t="str">
        <f>IF(A272="","",G271-E272)</f>
        <v/>
      </c>
    </row>
    <row r="273">
      <c r="A273" s="27" t="str">
        <f>IF(256&lt;=($C$9*12),256,"")</f>
        <v/>
      </c>
      <c r="B273" s="28" t="str">
        <f>IF(A273="","",EDATE($C$10,A273-1))</f>
        <v/>
      </c>
      <c r="C273" s="29" t="str">
        <f>IF(A273="","",D273+E273+F273)</f>
        <v/>
      </c>
      <c r="D273" s="30" t="str">
        <f>IF(A273="","",ROUND(G272*$C$8/12,2))</f>
        <v/>
      </c>
      <c r="E273" s="30" t="str">
        <f>IF(A273="","",IF(A273=($C$9*12),G272,$G$7-D273))</f>
        <v/>
      </c>
      <c r="F273" s="30" t="str">
        <f>IF(A273="","",$G$8)</f>
        <v/>
      </c>
      <c r="G273" s="30" t="str">
        <f>IF(A273="","",G272-E273)</f>
        <v/>
      </c>
    </row>
    <row r="274">
      <c r="A274" s="27" t="str">
        <f>IF(257&lt;=($C$9*12),257,"")</f>
        <v/>
      </c>
      <c r="B274" s="28" t="str">
        <f>IF(A274="","",EDATE($C$10,A274-1))</f>
        <v/>
      </c>
      <c r="C274" s="29" t="str">
        <f>IF(A274="","",D274+E274+F274)</f>
        <v/>
      </c>
      <c r="D274" s="30" t="str">
        <f>IF(A274="","",ROUND(G273*$C$8/12,2))</f>
        <v/>
      </c>
      <c r="E274" s="30" t="str">
        <f>IF(A274="","",IF(A274=($C$9*12),G273,$G$7-D274))</f>
        <v/>
      </c>
      <c r="F274" s="30" t="str">
        <f>IF(A274="","",$G$8)</f>
        <v/>
      </c>
      <c r="G274" s="30" t="str">
        <f>IF(A274="","",G273-E274)</f>
        <v/>
      </c>
    </row>
    <row r="275">
      <c r="A275" s="27" t="str">
        <f>IF(258&lt;=($C$9*12),258,"")</f>
        <v/>
      </c>
      <c r="B275" s="28" t="str">
        <f>IF(A275="","",EDATE($C$10,A275-1))</f>
        <v/>
      </c>
      <c r="C275" s="29" t="str">
        <f>IF(A275="","",D275+E275+F275)</f>
        <v/>
      </c>
      <c r="D275" s="30" t="str">
        <f>IF(A275="","",ROUND(G274*$C$8/12,2))</f>
        <v/>
      </c>
      <c r="E275" s="30" t="str">
        <f>IF(A275="","",IF(A275=($C$9*12),G274,$G$7-D275))</f>
        <v/>
      </c>
      <c r="F275" s="30" t="str">
        <f>IF(A275="","",$G$8)</f>
        <v/>
      </c>
      <c r="G275" s="30" t="str">
        <f>IF(A275="","",G274-E275)</f>
        <v/>
      </c>
    </row>
    <row r="276">
      <c r="A276" s="27" t="str">
        <f>IF(259&lt;=($C$9*12),259,"")</f>
        <v/>
      </c>
      <c r="B276" s="28" t="str">
        <f>IF(A276="","",EDATE($C$10,A276-1))</f>
        <v/>
      </c>
      <c r="C276" s="29" t="str">
        <f>IF(A276="","",D276+E276+F276)</f>
        <v/>
      </c>
      <c r="D276" s="30" t="str">
        <f>IF(A276="","",ROUND(G275*$C$8/12,2))</f>
        <v/>
      </c>
      <c r="E276" s="30" t="str">
        <f>IF(A276="","",IF(A276=($C$9*12),G275,$G$7-D276))</f>
        <v/>
      </c>
      <c r="F276" s="30" t="str">
        <f>IF(A276="","",$G$8)</f>
        <v/>
      </c>
      <c r="G276" s="30" t="str">
        <f>IF(A276="","",G275-E276)</f>
        <v/>
      </c>
    </row>
    <row r="277">
      <c r="A277" s="27" t="str">
        <f>IF(260&lt;=($C$9*12),260,"")</f>
        <v/>
      </c>
      <c r="B277" s="28" t="str">
        <f>IF(A277="","",EDATE($C$10,A277-1))</f>
        <v/>
      </c>
      <c r="C277" s="29" t="str">
        <f>IF(A277="","",D277+E277+F277)</f>
        <v/>
      </c>
      <c r="D277" s="30" t="str">
        <f>IF(A277="","",ROUND(G276*$C$8/12,2))</f>
        <v/>
      </c>
      <c r="E277" s="30" t="str">
        <f>IF(A277="","",IF(A277=($C$9*12),G276,$G$7-D277))</f>
        <v/>
      </c>
      <c r="F277" s="30" t="str">
        <f>IF(A277="","",$G$8)</f>
        <v/>
      </c>
      <c r="G277" s="30" t="str">
        <f>IF(A277="","",G276-E277)</f>
        <v/>
      </c>
    </row>
    <row r="278">
      <c r="A278" s="27" t="str">
        <f>IF(261&lt;=($C$9*12),261,"")</f>
        <v/>
      </c>
      <c r="B278" s="28" t="str">
        <f>IF(A278="","",EDATE($C$10,A278-1))</f>
        <v/>
      </c>
      <c r="C278" s="29" t="str">
        <f>IF(A278="","",D278+E278+F278)</f>
        <v/>
      </c>
      <c r="D278" s="30" t="str">
        <f>IF(A278="","",ROUND(G277*$C$8/12,2))</f>
        <v/>
      </c>
      <c r="E278" s="30" t="str">
        <f>IF(A278="","",IF(A278=($C$9*12),G277,$G$7-D278))</f>
        <v/>
      </c>
      <c r="F278" s="30" t="str">
        <f>IF(A278="","",$G$8)</f>
        <v/>
      </c>
      <c r="G278" s="30" t="str">
        <f>IF(A278="","",G277-E278)</f>
        <v/>
      </c>
    </row>
    <row r="279">
      <c r="A279" s="27" t="str">
        <f>IF(262&lt;=($C$9*12),262,"")</f>
        <v/>
      </c>
      <c r="B279" s="28" t="str">
        <f>IF(A279="","",EDATE($C$10,A279-1))</f>
        <v/>
      </c>
      <c r="C279" s="29" t="str">
        <f>IF(A279="","",D279+E279+F279)</f>
        <v/>
      </c>
      <c r="D279" s="30" t="str">
        <f>IF(A279="","",ROUND(G278*$C$8/12,2))</f>
        <v/>
      </c>
      <c r="E279" s="30" t="str">
        <f>IF(A279="","",IF(A279=($C$9*12),G278,$G$7-D279))</f>
        <v/>
      </c>
      <c r="F279" s="30" t="str">
        <f>IF(A279="","",$G$8)</f>
        <v/>
      </c>
      <c r="G279" s="30" t="str">
        <f>IF(A279="","",G278-E279)</f>
        <v/>
      </c>
    </row>
    <row r="280">
      <c r="A280" s="27" t="str">
        <f>IF(263&lt;=($C$9*12),263,"")</f>
        <v/>
      </c>
      <c r="B280" s="28" t="str">
        <f>IF(A280="","",EDATE($C$10,A280-1))</f>
        <v/>
      </c>
      <c r="C280" s="29" t="str">
        <f>IF(A280="","",D280+E280+F280)</f>
        <v/>
      </c>
      <c r="D280" s="30" t="str">
        <f>IF(A280="","",ROUND(G279*$C$8/12,2))</f>
        <v/>
      </c>
      <c r="E280" s="30" t="str">
        <f>IF(A280="","",IF(A280=($C$9*12),G279,$G$7-D280))</f>
        <v/>
      </c>
      <c r="F280" s="30" t="str">
        <f>IF(A280="","",$G$8)</f>
        <v/>
      </c>
      <c r="G280" s="30" t="str">
        <f>IF(A280="","",G279-E280)</f>
        <v/>
      </c>
    </row>
    <row r="281">
      <c r="A281" s="31" t="str">
        <f>IF(264&lt;=($C$9*12),264,"")</f>
        <v/>
      </c>
      <c r="B281" s="32" t="str">
        <f>IF(A281="","",EDATE($C$10,A281-1))</f>
        <v/>
      </c>
      <c r="C281" s="33" t="str">
        <f>IF(A281="","",D281+E281+F281)</f>
        <v/>
      </c>
      <c r="D281" s="34" t="str">
        <f>IF(A281="","",ROUND(G280*$C$8/12,2))</f>
        <v/>
      </c>
      <c r="E281" s="34" t="str">
        <f>IF(A281="","",IF(A281=($C$9*12),G280,$G$7-D281))</f>
        <v/>
      </c>
      <c r="F281" s="34" t="str">
        <f>IF(A281="","",$G$8)</f>
        <v/>
      </c>
      <c r="G281" s="34" t="str">
        <f>IF(A281="","",G280-E281)</f>
        <v/>
      </c>
    </row>
    <row r="282">
      <c r="A282" s="27" t="str">
        <f>IF(265&lt;=($C$9*12),265,"")</f>
        <v/>
      </c>
      <c r="B282" s="28" t="str">
        <f>IF(A282="","",EDATE($C$10,A282-1))</f>
        <v/>
      </c>
      <c r="C282" s="29" t="str">
        <f>IF(A282="","",D282+E282+F282)</f>
        <v/>
      </c>
      <c r="D282" s="30" t="str">
        <f>IF(A282="","",ROUND(G281*$C$8/12,2))</f>
        <v/>
      </c>
      <c r="E282" s="30" t="str">
        <f>IF(A282="","",IF(A282=($C$9*12),G281,$G$7-D282))</f>
        <v/>
      </c>
      <c r="F282" s="30" t="str">
        <f>IF(A282="","",$G$8)</f>
        <v/>
      </c>
      <c r="G282" s="30" t="str">
        <f>IF(A282="","",G281-E282)</f>
        <v/>
      </c>
    </row>
    <row r="283">
      <c r="A283" s="27" t="str">
        <f>IF(266&lt;=($C$9*12),266,"")</f>
        <v/>
      </c>
      <c r="B283" s="28" t="str">
        <f>IF(A283="","",EDATE($C$10,A283-1))</f>
        <v/>
      </c>
      <c r="C283" s="29" t="str">
        <f>IF(A283="","",D283+E283+F283)</f>
        <v/>
      </c>
      <c r="D283" s="30" t="str">
        <f>IF(A283="","",ROUND(G282*$C$8/12,2))</f>
        <v/>
      </c>
      <c r="E283" s="30" t="str">
        <f>IF(A283="","",IF(A283=($C$9*12),G282,$G$7-D283))</f>
        <v/>
      </c>
      <c r="F283" s="30" t="str">
        <f>IF(A283="","",$G$8)</f>
        <v/>
      </c>
      <c r="G283" s="30" t="str">
        <f>IF(A283="","",G282-E283)</f>
        <v/>
      </c>
    </row>
    <row r="284">
      <c r="A284" s="27" t="str">
        <f>IF(267&lt;=($C$9*12),267,"")</f>
        <v/>
      </c>
      <c r="B284" s="28" t="str">
        <f>IF(A284="","",EDATE($C$10,A284-1))</f>
        <v/>
      </c>
      <c r="C284" s="29" t="str">
        <f>IF(A284="","",D284+E284+F284)</f>
        <v/>
      </c>
      <c r="D284" s="30" t="str">
        <f>IF(A284="","",ROUND(G283*$C$8/12,2))</f>
        <v/>
      </c>
      <c r="E284" s="30" t="str">
        <f>IF(A284="","",IF(A284=($C$9*12),G283,$G$7-D284))</f>
        <v/>
      </c>
      <c r="F284" s="30" t="str">
        <f>IF(A284="","",$G$8)</f>
        <v/>
      </c>
      <c r="G284" s="30" t="str">
        <f>IF(A284="","",G283-E284)</f>
        <v/>
      </c>
    </row>
    <row r="285">
      <c r="A285" s="27" t="str">
        <f>IF(268&lt;=($C$9*12),268,"")</f>
        <v/>
      </c>
      <c r="B285" s="28" t="str">
        <f>IF(A285="","",EDATE($C$10,A285-1))</f>
        <v/>
      </c>
      <c r="C285" s="29" t="str">
        <f>IF(A285="","",D285+E285+F285)</f>
        <v/>
      </c>
      <c r="D285" s="30" t="str">
        <f>IF(A285="","",ROUND(G284*$C$8/12,2))</f>
        <v/>
      </c>
      <c r="E285" s="30" t="str">
        <f>IF(A285="","",IF(A285=($C$9*12),G284,$G$7-D285))</f>
        <v/>
      </c>
      <c r="F285" s="30" t="str">
        <f>IF(A285="","",$G$8)</f>
        <v/>
      </c>
      <c r="G285" s="30" t="str">
        <f>IF(A285="","",G284-E285)</f>
        <v/>
      </c>
    </row>
    <row r="286">
      <c r="A286" s="27" t="str">
        <f>IF(269&lt;=($C$9*12),269,"")</f>
        <v/>
      </c>
      <c r="B286" s="28" t="str">
        <f>IF(A286="","",EDATE($C$10,A286-1))</f>
        <v/>
      </c>
      <c r="C286" s="29" t="str">
        <f>IF(A286="","",D286+E286+F286)</f>
        <v/>
      </c>
      <c r="D286" s="30" t="str">
        <f>IF(A286="","",ROUND(G285*$C$8/12,2))</f>
        <v/>
      </c>
      <c r="E286" s="30" t="str">
        <f>IF(A286="","",IF(A286=($C$9*12),G285,$G$7-D286))</f>
        <v/>
      </c>
      <c r="F286" s="30" t="str">
        <f>IF(A286="","",$G$8)</f>
        <v/>
      </c>
      <c r="G286" s="30" t="str">
        <f>IF(A286="","",G285-E286)</f>
        <v/>
      </c>
    </row>
    <row r="287">
      <c r="A287" s="27" t="str">
        <f>IF(270&lt;=($C$9*12),270,"")</f>
        <v/>
      </c>
      <c r="B287" s="28" t="str">
        <f>IF(A287="","",EDATE($C$10,A287-1))</f>
        <v/>
      </c>
      <c r="C287" s="29" t="str">
        <f>IF(A287="","",D287+E287+F287)</f>
        <v/>
      </c>
      <c r="D287" s="30" t="str">
        <f>IF(A287="","",ROUND(G286*$C$8/12,2))</f>
        <v/>
      </c>
      <c r="E287" s="30" t="str">
        <f>IF(A287="","",IF(A287=($C$9*12),G286,$G$7-D287))</f>
        <v/>
      </c>
      <c r="F287" s="30" t="str">
        <f>IF(A287="","",$G$8)</f>
        <v/>
      </c>
      <c r="G287" s="30" t="str">
        <f>IF(A287="","",G286-E287)</f>
        <v/>
      </c>
    </row>
    <row r="288">
      <c r="A288" s="27" t="str">
        <f>IF(271&lt;=($C$9*12),271,"")</f>
        <v/>
      </c>
      <c r="B288" s="28" t="str">
        <f>IF(A288="","",EDATE($C$10,A288-1))</f>
        <v/>
      </c>
      <c r="C288" s="29" t="str">
        <f>IF(A288="","",D288+E288+F288)</f>
        <v/>
      </c>
      <c r="D288" s="30" t="str">
        <f>IF(A288="","",ROUND(G287*$C$8/12,2))</f>
        <v/>
      </c>
      <c r="E288" s="30" t="str">
        <f>IF(A288="","",IF(A288=($C$9*12),G287,$G$7-D288))</f>
        <v/>
      </c>
      <c r="F288" s="30" t="str">
        <f>IF(A288="","",$G$8)</f>
        <v/>
      </c>
      <c r="G288" s="30" t="str">
        <f>IF(A288="","",G287-E288)</f>
        <v/>
      </c>
    </row>
    <row r="289">
      <c r="A289" s="27" t="str">
        <f>IF(272&lt;=($C$9*12),272,"")</f>
        <v/>
      </c>
      <c r="B289" s="28" t="str">
        <f>IF(A289="","",EDATE($C$10,A289-1))</f>
        <v/>
      </c>
      <c r="C289" s="29" t="str">
        <f>IF(A289="","",D289+E289+F289)</f>
        <v/>
      </c>
      <c r="D289" s="30" t="str">
        <f>IF(A289="","",ROUND(G288*$C$8/12,2))</f>
        <v/>
      </c>
      <c r="E289" s="30" t="str">
        <f>IF(A289="","",IF(A289=($C$9*12),G288,$G$7-D289))</f>
        <v/>
      </c>
      <c r="F289" s="30" t="str">
        <f>IF(A289="","",$G$8)</f>
        <v/>
      </c>
      <c r="G289" s="30" t="str">
        <f>IF(A289="","",G288-E289)</f>
        <v/>
      </c>
    </row>
    <row r="290">
      <c r="A290" s="27" t="str">
        <f>IF(273&lt;=($C$9*12),273,"")</f>
        <v/>
      </c>
      <c r="B290" s="28" t="str">
        <f>IF(A290="","",EDATE($C$10,A290-1))</f>
        <v/>
      </c>
      <c r="C290" s="29" t="str">
        <f>IF(A290="","",D290+E290+F290)</f>
        <v/>
      </c>
      <c r="D290" s="30" t="str">
        <f>IF(A290="","",ROUND(G289*$C$8/12,2))</f>
        <v/>
      </c>
      <c r="E290" s="30" t="str">
        <f>IF(A290="","",IF(A290=($C$9*12),G289,$G$7-D290))</f>
        <v/>
      </c>
      <c r="F290" s="30" t="str">
        <f>IF(A290="","",$G$8)</f>
        <v/>
      </c>
      <c r="G290" s="30" t="str">
        <f>IF(A290="","",G289-E290)</f>
        <v/>
      </c>
    </row>
    <row r="291">
      <c r="A291" s="27" t="str">
        <f>IF(274&lt;=($C$9*12),274,"")</f>
        <v/>
      </c>
      <c r="B291" s="28" t="str">
        <f>IF(A291="","",EDATE($C$10,A291-1))</f>
        <v/>
      </c>
      <c r="C291" s="29" t="str">
        <f>IF(A291="","",D291+E291+F291)</f>
        <v/>
      </c>
      <c r="D291" s="30" t="str">
        <f>IF(A291="","",ROUND(G290*$C$8/12,2))</f>
        <v/>
      </c>
      <c r="E291" s="30" t="str">
        <f>IF(A291="","",IF(A291=($C$9*12),G290,$G$7-D291))</f>
        <v/>
      </c>
      <c r="F291" s="30" t="str">
        <f>IF(A291="","",$G$8)</f>
        <v/>
      </c>
      <c r="G291" s="30" t="str">
        <f>IF(A291="","",G290-E291)</f>
        <v/>
      </c>
    </row>
    <row r="292">
      <c r="A292" s="27" t="str">
        <f>IF(275&lt;=($C$9*12),275,"")</f>
        <v/>
      </c>
      <c r="B292" s="28" t="str">
        <f>IF(A292="","",EDATE($C$10,A292-1))</f>
        <v/>
      </c>
      <c r="C292" s="29" t="str">
        <f>IF(A292="","",D292+E292+F292)</f>
        <v/>
      </c>
      <c r="D292" s="30" t="str">
        <f>IF(A292="","",ROUND(G291*$C$8/12,2))</f>
        <v/>
      </c>
      <c r="E292" s="30" t="str">
        <f>IF(A292="","",IF(A292=($C$9*12),G291,$G$7-D292))</f>
        <v/>
      </c>
      <c r="F292" s="30" t="str">
        <f>IF(A292="","",$G$8)</f>
        <v/>
      </c>
      <c r="G292" s="30" t="str">
        <f>IF(A292="","",G291-E292)</f>
        <v/>
      </c>
    </row>
    <row r="293">
      <c r="A293" s="31" t="str">
        <f>IF(276&lt;=($C$9*12),276,"")</f>
        <v/>
      </c>
      <c r="B293" s="32" t="str">
        <f>IF(A293="","",EDATE($C$10,A293-1))</f>
        <v/>
      </c>
      <c r="C293" s="33" t="str">
        <f>IF(A293="","",D293+E293+F293)</f>
        <v/>
      </c>
      <c r="D293" s="34" t="str">
        <f>IF(A293="","",ROUND(G292*$C$8/12,2))</f>
        <v/>
      </c>
      <c r="E293" s="34" t="str">
        <f>IF(A293="","",IF(A293=($C$9*12),G292,$G$7-D293))</f>
        <v/>
      </c>
      <c r="F293" s="34" t="str">
        <f>IF(A293="","",$G$8)</f>
        <v/>
      </c>
      <c r="G293" s="34" t="str">
        <f>IF(A293="","",G292-E293)</f>
        <v/>
      </c>
    </row>
    <row r="294">
      <c r="A294" s="27" t="str">
        <f>IF(277&lt;=($C$9*12),277,"")</f>
        <v/>
      </c>
      <c r="B294" s="28" t="str">
        <f>IF(A294="","",EDATE($C$10,A294-1))</f>
        <v/>
      </c>
      <c r="C294" s="29" t="str">
        <f>IF(A294="","",D294+E294+F294)</f>
        <v/>
      </c>
      <c r="D294" s="30" t="str">
        <f>IF(A294="","",ROUND(G293*$C$8/12,2))</f>
        <v/>
      </c>
      <c r="E294" s="30" t="str">
        <f>IF(A294="","",IF(A294=($C$9*12),G293,$G$7-D294))</f>
        <v/>
      </c>
      <c r="F294" s="30" t="str">
        <f>IF(A294="","",$G$8)</f>
        <v/>
      </c>
      <c r="G294" s="30" t="str">
        <f>IF(A294="","",G293-E294)</f>
        <v/>
      </c>
    </row>
    <row r="295">
      <c r="A295" s="27" t="str">
        <f>IF(278&lt;=($C$9*12),278,"")</f>
        <v/>
      </c>
      <c r="B295" s="28" t="str">
        <f>IF(A295="","",EDATE($C$10,A295-1))</f>
        <v/>
      </c>
      <c r="C295" s="29" t="str">
        <f>IF(A295="","",D295+E295+F295)</f>
        <v/>
      </c>
      <c r="D295" s="30" t="str">
        <f>IF(A295="","",ROUND(G294*$C$8/12,2))</f>
        <v/>
      </c>
      <c r="E295" s="30" t="str">
        <f>IF(A295="","",IF(A295=($C$9*12),G294,$G$7-D295))</f>
        <v/>
      </c>
      <c r="F295" s="30" t="str">
        <f>IF(A295="","",$G$8)</f>
        <v/>
      </c>
      <c r="G295" s="30" t="str">
        <f>IF(A295="","",G294-E295)</f>
        <v/>
      </c>
    </row>
    <row r="296">
      <c r="A296" s="27" t="str">
        <f>IF(279&lt;=($C$9*12),279,"")</f>
        <v/>
      </c>
      <c r="B296" s="28" t="str">
        <f>IF(A296="","",EDATE($C$10,A296-1))</f>
        <v/>
      </c>
      <c r="C296" s="29" t="str">
        <f>IF(A296="","",D296+E296+F296)</f>
        <v/>
      </c>
      <c r="D296" s="30" t="str">
        <f>IF(A296="","",ROUND(G295*$C$8/12,2))</f>
        <v/>
      </c>
      <c r="E296" s="30" t="str">
        <f>IF(A296="","",IF(A296=($C$9*12),G295,$G$7-D296))</f>
        <v/>
      </c>
      <c r="F296" s="30" t="str">
        <f>IF(A296="","",$G$8)</f>
        <v/>
      </c>
      <c r="G296" s="30" t="str">
        <f>IF(A296="","",G295-E296)</f>
        <v/>
      </c>
    </row>
    <row r="297">
      <c r="A297" s="27" t="str">
        <f>IF(280&lt;=($C$9*12),280,"")</f>
        <v/>
      </c>
      <c r="B297" s="28" t="str">
        <f>IF(A297="","",EDATE($C$10,A297-1))</f>
        <v/>
      </c>
      <c r="C297" s="29" t="str">
        <f>IF(A297="","",D297+E297+F297)</f>
        <v/>
      </c>
      <c r="D297" s="30" t="str">
        <f>IF(A297="","",ROUND(G296*$C$8/12,2))</f>
        <v/>
      </c>
      <c r="E297" s="30" t="str">
        <f>IF(A297="","",IF(A297=($C$9*12),G296,$G$7-D297))</f>
        <v/>
      </c>
      <c r="F297" s="30" t="str">
        <f>IF(A297="","",$G$8)</f>
        <v/>
      </c>
      <c r="G297" s="30" t="str">
        <f>IF(A297="","",G296-E297)</f>
        <v/>
      </c>
    </row>
    <row r="298">
      <c r="A298" s="27" t="str">
        <f>IF(281&lt;=($C$9*12),281,"")</f>
        <v/>
      </c>
      <c r="B298" s="28" t="str">
        <f>IF(A298="","",EDATE($C$10,A298-1))</f>
        <v/>
      </c>
      <c r="C298" s="29" t="str">
        <f>IF(A298="","",D298+E298+F298)</f>
        <v/>
      </c>
      <c r="D298" s="30" t="str">
        <f>IF(A298="","",ROUND(G297*$C$8/12,2))</f>
        <v/>
      </c>
      <c r="E298" s="30" t="str">
        <f>IF(A298="","",IF(A298=($C$9*12),G297,$G$7-D298))</f>
        <v/>
      </c>
      <c r="F298" s="30" t="str">
        <f>IF(A298="","",$G$8)</f>
        <v/>
      </c>
      <c r="G298" s="30" t="str">
        <f>IF(A298="","",G297-E298)</f>
        <v/>
      </c>
    </row>
    <row r="299">
      <c r="A299" s="27" t="str">
        <f>IF(282&lt;=($C$9*12),282,"")</f>
        <v/>
      </c>
      <c r="B299" s="28" t="str">
        <f>IF(A299="","",EDATE($C$10,A299-1))</f>
        <v/>
      </c>
      <c r="C299" s="29" t="str">
        <f>IF(A299="","",D299+E299+F299)</f>
        <v/>
      </c>
      <c r="D299" s="30" t="str">
        <f>IF(A299="","",ROUND(G298*$C$8/12,2))</f>
        <v/>
      </c>
      <c r="E299" s="30" t="str">
        <f>IF(A299="","",IF(A299=($C$9*12),G298,$G$7-D299))</f>
        <v/>
      </c>
      <c r="F299" s="30" t="str">
        <f>IF(A299="","",$G$8)</f>
        <v/>
      </c>
      <c r="G299" s="30" t="str">
        <f>IF(A299="","",G298-E299)</f>
        <v/>
      </c>
    </row>
    <row r="300">
      <c r="A300" s="27" t="str">
        <f>IF(283&lt;=($C$9*12),283,"")</f>
        <v/>
      </c>
      <c r="B300" s="28" t="str">
        <f>IF(A300="","",EDATE($C$10,A300-1))</f>
        <v/>
      </c>
      <c r="C300" s="29" t="str">
        <f>IF(A300="","",D300+E300+F300)</f>
        <v/>
      </c>
      <c r="D300" s="30" t="str">
        <f>IF(A300="","",ROUND(G299*$C$8/12,2))</f>
        <v/>
      </c>
      <c r="E300" s="30" t="str">
        <f>IF(A300="","",IF(A300=($C$9*12),G299,$G$7-D300))</f>
        <v/>
      </c>
      <c r="F300" s="30" t="str">
        <f>IF(A300="","",$G$8)</f>
        <v/>
      </c>
      <c r="G300" s="30" t="str">
        <f>IF(A300="","",G299-E300)</f>
        <v/>
      </c>
    </row>
    <row r="301">
      <c r="A301" s="27" t="str">
        <f>IF(284&lt;=($C$9*12),284,"")</f>
        <v/>
      </c>
      <c r="B301" s="28" t="str">
        <f>IF(A301="","",EDATE($C$10,A301-1))</f>
        <v/>
      </c>
      <c r="C301" s="29" t="str">
        <f>IF(A301="","",D301+E301+F301)</f>
        <v/>
      </c>
      <c r="D301" s="30" t="str">
        <f>IF(A301="","",ROUND(G300*$C$8/12,2))</f>
        <v/>
      </c>
      <c r="E301" s="30" t="str">
        <f>IF(A301="","",IF(A301=($C$9*12),G300,$G$7-D301))</f>
        <v/>
      </c>
      <c r="F301" s="30" t="str">
        <f>IF(A301="","",$G$8)</f>
        <v/>
      </c>
      <c r="G301" s="30" t="str">
        <f>IF(A301="","",G300-E301)</f>
        <v/>
      </c>
    </row>
    <row r="302">
      <c r="A302" s="27" t="str">
        <f>IF(285&lt;=($C$9*12),285,"")</f>
        <v/>
      </c>
      <c r="B302" s="28" t="str">
        <f>IF(A302="","",EDATE($C$10,A302-1))</f>
        <v/>
      </c>
      <c r="C302" s="29" t="str">
        <f>IF(A302="","",D302+E302+F302)</f>
        <v/>
      </c>
      <c r="D302" s="30" t="str">
        <f>IF(A302="","",ROUND(G301*$C$8/12,2))</f>
        <v/>
      </c>
      <c r="E302" s="30" t="str">
        <f>IF(A302="","",IF(A302=($C$9*12),G301,$G$7-D302))</f>
        <v/>
      </c>
      <c r="F302" s="30" t="str">
        <f>IF(A302="","",$G$8)</f>
        <v/>
      </c>
      <c r="G302" s="30" t="str">
        <f>IF(A302="","",G301-E302)</f>
        <v/>
      </c>
    </row>
    <row r="303">
      <c r="A303" s="27" t="str">
        <f>IF(286&lt;=($C$9*12),286,"")</f>
        <v/>
      </c>
      <c r="B303" s="28" t="str">
        <f>IF(A303="","",EDATE($C$10,A303-1))</f>
        <v/>
      </c>
      <c r="C303" s="29" t="str">
        <f>IF(A303="","",D303+E303+F303)</f>
        <v/>
      </c>
      <c r="D303" s="30" t="str">
        <f>IF(A303="","",ROUND(G302*$C$8/12,2))</f>
        <v/>
      </c>
      <c r="E303" s="30" t="str">
        <f>IF(A303="","",IF(A303=($C$9*12),G302,$G$7-D303))</f>
        <v/>
      </c>
      <c r="F303" s="30" t="str">
        <f>IF(A303="","",$G$8)</f>
        <v/>
      </c>
      <c r="G303" s="30" t="str">
        <f>IF(A303="","",G302-E303)</f>
        <v/>
      </c>
    </row>
    <row r="304">
      <c r="A304" s="27" t="str">
        <f>IF(287&lt;=($C$9*12),287,"")</f>
        <v/>
      </c>
      <c r="B304" s="28" t="str">
        <f>IF(A304="","",EDATE($C$10,A304-1))</f>
        <v/>
      </c>
      <c r="C304" s="29" t="str">
        <f>IF(A304="","",D304+E304+F304)</f>
        <v/>
      </c>
      <c r="D304" s="30" t="str">
        <f>IF(A304="","",ROUND(G303*$C$8/12,2))</f>
        <v/>
      </c>
      <c r="E304" s="30" t="str">
        <f>IF(A304="","",IF(A304=($C$9*12),G303,$G$7-D304))</f>
        <v/>
      </c>
      <c r="F304" s="30" t="str">
        <f>IF(A304="","",$G$8)</f>
        <v/>
      </c>
      <c r="G304" s="30" t="str">
        <f>IF(A304="","",G303-E304)</f>
        <v/>
      </c>
    </row>
    <row r="305">
      <c r="A305" s="31" t="str">
        <f>IF(288&lt;=($C$9*12),288,"")</f>
        <v/>
      </c>
      <c r="B305" s="32" t="str">
        <f>IF(A305="","",EDATE($C$10,A305-1))</f>
        <v/>
      </c>
      <c r="C305" s="33" t="str">
        <f>IF(A305="","",D305+E305+F305)</f>
        <v/>
      </c>
      <c r="D305" s="34" t="str">
        <f>IF(A305="","",ROUND(G304*$C$8/12,2))</f>
        <v/>
      </c>
      <c r="E305" s="34" t="str">
        <f>IF(A305="","",IF(A305=($C$9*12),G304,$G$7-D305))</f>
        <v/>
      </c>
      <c r="F305" s="34" t="str">
        <f>IF(A305="","",$G$8)</f>
        <v/>
      </c>
      <c r="G305" s="34" t="str">
        <f>IF(A305="","",G304-E305)</f>
        <v/>
      </c>
    </row>
    <row r="306">
      <c r="A306" s="27" t="str">
        <f>IF(289&lt;=($C$9*12),289,"")</f>
        <v/>
      </c>
      <c r="B306" s="28" t="str">
        <f>IF(A306="","",EDATE($C$10,A306-1))</f>
        <v/>
      </c>
      <c r="C306" s="29" t="str">
        <f>IF(A306="","",D306+E306+F306)</f>
        <v/>
      </c>
      <c r="D306" s="30" t="str">
        <f>IF(A306="","",ROUND(G305*$C$8/12,2))</f>
        <v/>
      </c>
      <c r="E306" s="30" t="str">
        <f>IF(A306="","",IF(A306=($C$9*12),G305,$G$7-D306))</f>
        <v/>
      </c>
      <c r="F306" s="30" t="str">
        <f>IF(A306="","",$G$8)</f>
        <v/>
      </c>
      <c r="G306" s="30" t="str">
        <f>IF(A306="","",G305-E306)</f>
        <v/>
      </c>
    </row>
    <row r="307">
      <c r="A307" s="27" t="str">
        <f>IF(290&lt;=($C$9*12),290,"")</f>
        <v/>
      </c>
      <c r="B307" s="28" t="str">
        <f>IF(A307="","",EDATE($C$10,A307-1))</f>
        <v/>
      </c>
      <c r="C307" s="29" t="str">
        <f>IF(A307="","",D307+E307+F307)</f>
        <v/>
      </c>
      <c r="D307" s="30" t="str">
        <f>IF(A307="","",ROUND(G306*$C$8/12,2))</f>
        <v/>
      </c>
      <c r="E307" s="30" t="str">
        <f>IF(A307="","",IF(A307=($C$9*12),G306,$G$7-D307))</f>
        <v/>
      </c>
      <c r="F307" s="30" t="str">
        <f>IF(A307="","",$G$8)</f>
        <v/>
      </c>
      <c r="G307" s="30" t="str">
        <f>IF(A307="","",G306-E307)</f>
        <v/>
      </c>
    </row>
    <row r="308">
      <c r="A308" s="27" t="str">
        <f>IF(291&lt;=($C$9*12),291,"")</f>
        <v/>
      </c>
      <c r="B308" s="28" t="str">
        <f>IF(A308="","",EDATE($C$10,A308-1))</f>
        <v/>
      </c>
      <c r="C308" s="29" t="str">
        <f>IF(A308="","",D308+E308+F308)</f>
        <v/>
      </c>
      <c r="D308" s="30" t="str">
        <f>IF(A308="","",ROUND(G307*$C$8/12,2))</f>
        <v/>
      </c>
      <c r="E308" s="30" t="str">
        <f>IF(A308="","",IF(A308=($C$9*12),G307,$G$7-D308))</f>
        <v/>
      </c>
      <c r="F308" s="30" t="str">
        <f>IF(A308="","",$G$8)</f>
        <v/>
      </c>
      <c r="G308" s="30" t="str">
        <f>IF(A308="","",G307-E308)</f>
        <v/>
      </c>
    </row>
    <row r="309">
      <c r="A309" s="27" t="str">
        <f>IF(292&lt;=($C$9*12),292,"")</f>
        <v/>
      </c>
      <c r="B309" s="28" t="str">
        <f>IF(A309="","",EDATE($C$10,A309-1))</f>
        <v/>
      </c>
      <c r="C309" s="29" t="str">
        <f>IF(A309="","",D309+E309+F309)</f>
        <v/>
      </c>
      <c r="D309" s="30" t="str">
        <f>IF(A309="","",ROUND(G308*$C$8/12,2))</f>
        <v/>
      </c>
      <c r="E309" s="30" t="str">
        <f>IF(A309="","",IF(A309=($C$9*12),G308,$G$7-D309))</f>
        <v/>
      </c>
      <c r="F309" s="30" t="str">
        <f>IF(A309="","",$G$8)</f>
        <v/>
      </c>
      <c r="G309" s="30" t="str">
        <f>IF(A309="","",G308-E309)</f>
        <v/>
      </c>
    </row>
    <row r="310">
      <c r="A310" s="27" t="str">
        <f>IF(293&lt;=($C$9*12),293,"")</f>
        <v/>
      </c>
      <c r="B310" s="28" t="str">
        <f>IF(A310="","",EDATE($C$10,A310-1))</f>
        <v/>
      </c>
      <c r="C310" s="29" t="str">
        <f>IF(A310="","",D310+E310+F310)</f>
        <v/>
      </c>
      <c r="D310" s="30" t="str">
        <f>IF(A310="","",ROUND(G309*$C$8/12,2))</f>
        <v/>
      </c>
      <c r="E310" s="30" t="str">
        <f>IF(A310="","",IF(A310=($C$9*12),G309,$G$7-D310))</f>
        <v/>
      </c>
      <c r="F310" s="30" t="str">
        <f>IF(A310="","",$G$8)</f>
        <v/>
      </c>
      <c r="G310" s="30" t="str">
        <f>IF(A310="","",G309-E310)</f>
        <v/>
      </c>
    </row>
    <row r="311">
      <c r="A311" s="27" t="str">
        <f>IF(294&lt;=($C$9*12),294,"")</f>
        <v/>
      </c>
      <c r="B311" s="28" t="str">
        <f>IF(A311="","",EDATE($C$10,A311-1))</f>
        <v/>
      </c>
      <c r="C311" s="29" t="str">
        <f>IF(A311="","",D311+E311+F311)</f>
        <v/>
      </c>
      <c r="D311" s="30" t="str">
        <f>IF(A311="","",ROUND(G310*$C$8/12,2))</f>
        <v/>
      </c>
      <c r="E311" s="30" t="str">
        <f>IF(A311="","",IF(A311=($C$9*12),G310,$G$7-D311))</f>
        <v/>
      </c>
      <c r="F311" s="30" t="str">
        <f>IF(A311="","",$G$8)</f>
        <v/>
      </c>
      <c r="G311" s="30" t="str">
        <f>IF(A311="","",G310-E311)</f>
        <v/>
      </c>
    </row>
    <row r="312">
      <c r="A312" s="27" t="str">
        <f>IF(295&lt;=($C$9*12),295,"")</f>
        <v/>
      </c>
      <c r="B312" s="28" t="str">
        <f>IF(A312="","",EDATE($C$10,A312-1))</f>
        <v/>
      </c>
      <c r="C312" s="29" t="str">
        <f>IF(A312="","",D312+E312+F312)</f>
        <v/>
      </c>
      <c r="D312" s="30" t="str">
        <f>IF(A312="","",ROUND(G311*$C$8/12,2))</f>
        <v/>
      </c>
      <c r="E312" s="30" t="str">
        <f>IF(A312="","",IF(A312=($C$9*12),G311,$G$7-D312))</f>
        <v/>
      </c>
      <c r="F312" s="30" t="str">
        <f>IF(A312="","",$G$8)</f>
        <v/>
      </c>
      <c r="G312" s="30" t="str">
        <f>IF(A312="","",G311-E312)</f>
        <v/>
      </c>
    </row>
    <row r="313">
      <c r="A313" s="27" t="str">
        <f>IF(296&lt;=($C$9*12),296,"")</f>
        <v/>
      </c>
      <c r="B313" s="28" t="str">
        <f>IF(A313="","",EDATE($C$10,A313-1))</f>
        <v/>
      </c>
      <c r="C313" s="29" t="str">
        <f>IF(A313="","",D313+E313+F313)</f>
        <v/>
      </c>
      <c r="D313" s="30" t="str">
        <f>IF(A313="","",ROUND(G312*$C$8/12,2))</f>
        <v/>
      </c>
      <c r="E313" s="30" t="str">
        <f>IF(A313="","",IF(A313=($C$9*12),G312,$G$7-D313))</f>
        <v/>
      </c>
      <c r="F313" s="30" t="str">
        <f>IF(A313="","",$G$8)</f>
        <v/>
      </c>
      <c r="G313" s="30" t="str">
        <f>IF(A313="","",G312-E313)</f>
        <v/>
      </c>
    </row>
    <row r="314">
      <c r="A314" s="27" t="str">
        <f>IF(297&lt;=($C$9*12),297,"")</f>
        <v/>
      </c>
      <c r="B314" s="28" t="str">
        <f>IF(A314="","",EDATE($C$10,A314-1))</f>
        <v/>
      </c>
      <c r="C314" s="29" t="str">
        <f>IF(A314="","",D314+E314+F314)</f>
        <v/>
      </c>
      <c r="D314" s="30" t="str">
        <f>IF(A314="","",ROUND(G313*$C$8/12,2))</f>
        <v/>
      </c>
      <c r="E314" s="30" t="str">
        <f>IF(A314="","",IF(A314=($C$9*12),G313,$G$7-D314))</f>
        <v/>
      </c>
      <c r="F314" s="30" t="str">
        <f>IF(A314="","",$G$8)</f>
        <v/>
      </c>
      <c r="G314" s="30" t="str">
        <f>IF(A314="","",G313-E314)</f>
        <v/>
      </c>
    </row>
    <row r="315">
      <c r="A315" s="27" t="str">
        <f>IF(298&lt;=($C$9*12),298,"")</f>
        <v/>
      </c>
      <c r="B315" s="28" t="str">
        <f>IF(A315="","",EDATE($C$10,A315-1))</f>
        <v/>
      </c>
      <c r="C315" s="29" t="str">
        <f>IF(A315="","",D315+E315+F315)</f>
        <v/>
      </c>
      <c r="D315" s="30" t="str">
        <f>IF(A315="","",ROUND(G314*$C$8/12,2))</f>
        <v/>
      </c>
      <c r="E315" s="30" t="str">
        <f>IF(A315="","",IF(A315=($C$9*12),G314,$G$7-D315))</f>
        <v/>
      </c>
      <c r="F315" s="30" t="str">
        <f>IF(A315="","",$G$8)</f>
        <v/>
      </c>
      <c r="G315" s="30" t="str">
        <f>IF(A315="","",G314-E315)</f>
        <v/>
      </c>
    </row>
    <row r="316">
      <c r="A316" s="27" t="str">
        <f>IF(299&lt;=($C$9*12),299,"")</f>
        <v/>
      </c>
      <c r="B316" s="28" t="str">
        <f>IF(A316="","",EDATE($C$10,A316-1))</f>
        <v/>
      </c>
      <c r="C316" s="29" t="str">
        <f>IF(A316="","",D316+E316+F316)</f>
        <v/>
      </c>
      <c r="D316" s="30" t="str">
        <f>IF(A316="","",ROUND(G315*$C$8/12,2))</f>
        <v/>
      </c>
      <c r="E316" s="30" t="str">
        <f>IF(A316="","",IF(A316=($C$9*12),G315,$G$7-D316))</f>
        <v/>
      </c>
      <c r="F316" s="30" t="str">
        <f>IF(A316="","",$G$8)</f>
        <v/>
      </c>
      <c r="G316" s="30" t="str">
        <f>IF(A316="","",G315-E316)</f>
        <v/>
      </c>
    </row>
    <row r="317">
      <c r="A317" s="31" t="str">
        <f>IF(300&lt;=($C$9*12),300,"")</f>
        <v/>
      </c>
      <c r="B317" s="32" t="str">
        <f>IF(A317="","",EDATE($C$10,A317-1))</f>
        <v/>
      </c>
      <c r="C317" s="33" t="str">
        <f>IF(A317="","",D317+E317+F317)</f>
        <v/>
      </c>
      <c r="D317" s="34" t="str">
        <f>IF(A317="","",ROUND(G316*$C$8/12,2))</f>
        <v/>
      </c>
      <c r="E317" s="34" t="str">
        <f>IF(A317="","",IF(A317=($C$9*12),G316,$G$7-D317))</f>
        <v/>
      </c>
      <c r="F317" s="34" t="str">
        <f>IF(A317="","",$G$8)</f>
        <v/>
      </c>
      <c r="G317" s="34" t="str">
        <f>IF(A317="","",G316-E317)</f>
        <v/>
      </c>
    </row>
    <row r="318">
      <c r="A318" s="27" t="str">
        <f>IF(301&lt;=($C$9*12),301,"")</f>
        <v/>
      </c>
      <c r="B318" s="28" t="str">
        <f>IF(A318="","",EDATE($C$10,A318-1))</f>
        <v/>
      </c>
      <c r="C318" s="29" t="str">
        <f>IF(A318="","",D318+E318+F318)</f>
        <v/>
      </c>
      <c r="D318" s="30" t="str">
        <f>IF(A318="","",ROUND(G317*$C$8/12,2))</f>
        <v/>
      </c>
      <c r="E318" s="30" t="str">
        <f>IF(A318="","",IF(A318=($C$9*12),G317,$G$7-D318))</f>
        <v/>
      </c>
      <c r="F318" s="30" t="str">
        <f>IF(A318="","",$G$8)</f>
        <v/>
      </c>
      <c r="G318" s="30" t="str">
        <f>IF(A318="","",G317-E318)</f>
        <v/>
      </c>
    </row>
    <row r="319">
      <c r="A319" s="27" t="str">
        <f>IF(302&lt;=($C$9*12),302,"")</f>
        <v/>
      </c>
      <c r="B319" s="28" t="str">
        <f>IF(A319="","",EDATE($C$10,A319-1))</f>
        <v/>
      </c>
      <c r="C319" s="29" t="str">
        <f>IF(A319="","",D319+E319+F319)</f>
        <v/>
      </c>
      <c r="D319" s="30" t="str">
        <f>IF(A319="","",ROUND(G318*$C$8/12,2))</f>
        <v/>
      </c>
      <c r="E319" s="30" t="str">
        <f>IF(A319="","",IF(A319=($C$9*12),G318,$G$7-D319))</f>
        <v/>
      </c>
      <c r="F319" s="30" t="str">
        <f>IF(A319="","",$G$8)</f>
        <v/>
      </c>
      <c r="G319" s="30" t="str">
        <f>IF(A319="","",G318-E319)</f>
        <v/>
      </c>
    </row>
    <row r="320">
      <c r="A320" s="27" t="str">
        <f>IF(303&lt;=($C$9*12),303,"")</f>
        <v/>
      </c>
      <c r="B320" s="28" t="str">
        <f>IF(A320="","",EDATE($C$10,A320-1))</f>
        <v/>
      </c>
      <c r="C320" s="29" t="str">
        <f>IF(A320="","",D320+E320+F320)</f>
        <v/>
      </c>
      <c r="D320" s="30" t="str">
        <f>IF(A320="","",ROUND(G319*$C$8/12,2))</f>
        <v/>
      </c>
      <c r="E320" s="30" t="str">
        <f>IF(A320="","",IF(A320=($C$9*12),G319,$G$7-D320))</f>
        <v/>
      </c>
      <c r="F320" s="30" t="str">
        <f>IF(A320="","",$G$8)</f>
        <v/>
      </c>
      <c r="G320" s="30" t="str">
        <f>IF(A320="","",G319-E320)</f>
        <v/>
      </c>
    </row>
    <row r="321">
      <c r="A321" s="27" t="str">
        <f>IF(304&lt;=($C$9*12),304,"")</f>
        <v/>
      </c>
      <c r="B321" s="28" t="str">
        <f>IF(A321="","",EDATE($C$10,A321-1))</f>
        <v/>
      </c>
      <c r="C321" s="29" t="str">
        <f>IF(A321="","",D321+E321+F321)</f>
        <v/>
      </c>
      <c r="D321" s="30" t="str">
        <f>IF(A321="","",ROUND(G320*$C$8/12,2))</f>
        <v/>
      </c>
      <c r="E321" s="30" t="str">
        <f>IF(A321="","",IF(A321=($C$9*12),G320,$G$7-D321))</f>
        <v/>
      </c>
      <c r="F321" s="30" t="str">
        <f>IF(A321="","",$G$8)</f>
        <v/>
      </c>
      <c r="G321" s="30" t="str">
        <f>IF(A321="","",G320-E321)</f>
        <v/>
      </c>
    </row>
    <row r="322">
      <c r="A322" s="27" t="str">
        <f>IF(305&lt;=($C$9*12),305,"")</f>
        <v/>
      </c>
      <c r="B322" s="28" t="str">
        <f>IF(A322="","",EDATE($C$10,A322-1))</f>
        <v/>
      </c>
      <c r="C322" s="29" t="str">
        <f>IF(A322="","",D322+E322+F322)</f>
        <v/>
      </c>
      <c r="D322" s="30" t="str">
        <f>IF(A322="","",ROUND(G321*$C$8/12,2))</f>
        <v/>
      </c>
      <c r="E322" s="30" t="str">
        <f>IF(A322="","",IF(A322=($C$9*12),G321,$G$7-D322))</f>
        <v/>
      </c>
      <c r="F322" s="30" t="str">
        <f>IF(A322="","",$G$8)</f>
        <v/>
      </c>
      <c r="G322" s="30" t="str">
        <f>IF(A322="","",G321-E322)</f>
        <v/>
      </c>
    </row>
    <row r="323">
      <c r="A323" s="27" t="str">
        <f>IF(306&lt;=($C$9*12),306,"")</f>
        <v/>
      </c>
      <c r="B323" s="28" t="str">
        <f>IF(A323="","",EDATE($C$10,A323-1))</f>
        <v/>
      </c>
      <c r="C323" s="29" t="str">
        <f>IF(A323="","",D323+E323+F323)</f>
        <v/>
      </c>
      <c r="D323" s="30" t="str">
        <f>IF(A323="","",ROUND(G322*$C$8/12,2))</f>
        <v/>
      </c>
      <c r="E323" s="30" t="str">
        <f>IF(A323="","",IF(A323=($C$9*12),G322,$G$7-D323))</f>
        <v/>
      </c>
      <c r="F323" s="30" t="str">
        <f>IF(A323="","",$G$8)</f>
        <v/>
      </c>
      <c r="G323" s="30" t="str">
        <f>IF(A323="","",G322-E323)</f>
        <v/>
      </c>
    </row>
    <row r="324">
      <c r="A324" s="27" t="str">
        <f>IF(307&lt;=($C$9*12),307,"")</f>
        <v/>
      </c>
      <c r="B324" s="28" t="str">
        <f>IF(A324="","",EDATE($C$10,A324-1))</f>
        <v/>
      </c>
      <c r="C324" s="29" t="str">
        <f>IF(A324="","",D324+E324+F324)</f>
        <v/>
      </c>
      <c r="D324" s="30" t="str">
        <f>IF(A324="","",ROUND(G323*$C$8/12,2))</f>
        <v/>
      </c>
      <c r="E324" s="30" t="str">
        <f>IF(A324="","",IF(A324=($C$9*12),G323,$G$7-D324))</f>
        <v/>
      </c>
      <c r="F324" s="30" t="str">
        <f>IF(A324="","",$G$8)</f>
        <v/>
      </c>
      <c r="G324" s="30" t="str">
        <f>IF(A324="","",G323-E324)</f>
        <v/>
      </c>
    </row>
    <row r="325">
      <c r="A325" s="27" t="str">
        <f>IF(308&lt;=($C$9*12),308,"")</f>
        <v/>
      </c>
      <c r="B325" s="28" t="str">
        <f>IF(A325="","",EDATE($C$10,A325-1))</f>
        <v/>
      </c>
      <c r="C325" s="29" t="str">
        <f>IF(A325="","",D325+E325+F325)</f>
        <v/>
      </c>
      <c r="D325" s="30" t="str">
        <f>IF(A325="","",ROUND(G324*$C$8/12,2))</f>
        <v/>
      </c>
      <c r="E325" s="30" t="str">
        <f>IF(A325="","",IF(A325=($C$9*12),G324,$G$7-D325))</f>
        <v/>
      </c>
      <c r="F325" s="30" t="str">
        <f>IF(A325="","",$G$8)</f>
        <v/>
      </c>
      <c r="G325" s="30" t="str">
        <f>IF(A325="","",G324-E325)</f>
        <v/>
      </c>
    </row>
    <row r="326">
      <c r="A326" s="27" t="str">
        <f>IF(309&lt;=($C$9*12),309,"")</f>
        <v/>
      </c>
      <c r="B326" s="28" t="str">
        <f>IF(A326="","",EDATE($C$10,A326-1))</f>
        <v/>
      </c>
      <c r="C326" s="29" t="str">
        <f>IF(A326="","",D326+E326+F326)</f>
        <v/>
      </c>
      <c r="D326" s="30" t="str">
        <f>IF(A326="","",ROUND(G325*$C$8/12,2))</f>
        <v/>
      </c>
      <c r="E326" s="30" t="str">
        <f>IF(A326="","",IF(A326=($C$9*12),G325,$G$7-D326))</f>
        <v/>
      </c>
      <c r="F326" s="30" t="str">
        <f>IF(A326="","",$G$8)</f>
        <v/>
      </c>
      <c r="G326" s="30" t="str">
        <f>IF(A326="","",G325-E326)</f>
        <v/>
      </c>
    </row>
    <row r="327">
      <c r="A327" s="27" t="str">
        <f>IF(310&lt;=($C$9*12),310,"")</f>
        <v/>
      </c>
      <c r="B327" s="28" t="str">
        <f>IF(A327="","",EDATE($C$10,A327-1))</f>
        <v/>
      </c>
      <c r="C327" s="29" t="str">
        <f>IF(A327="","",D327+E327+F327)</f>
        <v/>
      </c>
      <c r="D327" s="30" t="str">
        <f>IF(A327="","",ROUND(G326*$C$8/12,2))</f>
        <v/>
      </c>
      <c r="E327" s="30" t="str">
        <f>IF(A327="","",IF(A327=($C$9*12),G326,$G$7-D327))</f>
        <v/>
      </c>
      <c r="F327" s="30" t="str">
        <f>IF(A327="","",$G$8)</f>
        <v/>
      </c>
      <c r="G327" s="30" t="str">
        <f>IF(A327="","",G326-E327)</f>
        <v/>
      </c>
    </row>
    <row r="328">
      <c r="A328" s="27" t="str">
        <f>IF(311&lt;=($C$9*12),311,"")</f>
        <v/>
      </c>
      <c r="B328" s="28" t="str">
        <f>IF(A328="","",EDATE($C$10,A328-1))</f>
        <v/>
      </c>
      <c r="C328" s="29" t="str">
        <f>IF(A328="","",D328+E328+F328)</f>
        <v/>
      </c>
      <c r="D328" s="30" t="str">
        <f>IF(A328="","",ROUND(G327*$C$8/12,2))</f>
        <v/>
      </c>
      <c r="E328" s="30" t="str">
        <f>IF(A328="","",IF(A328=($C$9*12),G327,$G$7-D328))</f>
        <v/>
      </c>
      <c r="F328" s="30" t="str">
        <f>IF(A328="","",$G$8)</f>
        <v/>
      </c>
      <c r="G328" s="30" t="str">
        <f>IF(A328="","",G327-E328)</f>
        <v/>
      </c>
    </row>
    <row r="329">
      <c r="A329" s="31" t="str">
        <f>IF(312&lt;=($C$9*12),312,"")</f>
        <v/>
      </c>
      <c r="B329" s="32" t="str">
        <f>IF(A329="","",EDATE($C$10,A329-1))</f>
        <v/>
      </c>
      <c r="C329" s="33" t="str">
        <f>IF(A329="","",D329+E329+F329)</f>
        <v/>
      </c>
      <c r="D329" s="34" t="str">
        <f>IF(A329="","",ROUND(G328*$C$8/12,2))</f>
        <v/>
      </c>
      <c r="E329" s="34" t="str">
        <f>IF(A329="","",IF(A329=($C$9*12),G328,$G$7-D329))</f>
        <v/>
      </c>
      <c r="F329" s="34" t="str">
        <f>IF(A329="","",$G$8)</f>
        <v/>
      </c>
      <c r="G329" s="34" t="str">
        <f>IF(A329="","",G328-E329)</f>
        <v/>
      </c>
    </row>
    <row r="330">
      <c r="A330" s="27" t="str">
        <f>IF(313&lt;=($C$9*12),313,"")</f>
        <v/>
      </c>
      <c r="B330" s="28" t="str">
        <f>IF(A330="","",EDATE($C$10,A330-1))</f>
        <v/>
      </c>
      <c r="C330" s="29" t="str">
        <f>IF(A330="","",D330+E330+F330)</f>
        <v/>
      </c>
      <c r="D330" s="30" t="str">
        <f>IF(A330="","",ROUND(G329*$C$8/12,2))</f>
        <v/>
      </c>
      <c r="E330" s="30" t="str">
        <f>IF(A330="","",IF(A330=($C$9*12),G329,$G$7-D330))</f>
        <v/>
      </c>
      <c r="F330" s="30" t="str">
        <f>IF(A330="","",$G$8)</f>
        <v/>
      </c>
      <c r="G330" s="30" t="str">
        <f>IF(A330="","",G329-E330)</f>
        <v/>
      </c>
    </row>
    <row r="331">
      <c r="A331" s="27" t="str">
        <f>IF(314&lt;=($C$9*12),314,"")</f>
        <v/>
      </c>
      <c r="B331" s="28" t="str">
        <f>IF(A331="","",EDATE($C$10,A331-1))</f>
        <v/>
      </c>
      <c r="C331" s="29" t="str">
        <f>IF(A331="","",D331+E331+F331)</f>
        <v/>
      </c>
      <c r="D331" s="30" t="str">
        <f>IF(A331="","",ROUND(G330*$C$8/12,2))</f>
        <v/>
      </c>
      <c r="E331" s="30" t="str">
        <f>IF(A331="","",IF(A331=($C$9*12),G330,$G$7-D331))</f>
        <v/>
      </c>
      <c r="F331" s="30" t="str">
        <f>IF(A331="","",$G$8)</f>
        <v/>
      </c>
      <c r="G331" s="30" t="str">
        <f>IF(A331="","",G330-E331)</f>
        <v/>
      </c>
    </row>
    <row r="332">
      <c r="A332" s="27" t="str">
        <f>IF(315&lt;=($C$9*12),315,"")</f>
        <v/>
      </c>
      <c r="B332" s="28" t="str">
        <f>IF(A332="","",EDATE($C$10,A332-1))</f>
        <v/>
      </c>
      <c r="C332" s="29" t="str">
        <f>IF(A332="","",D332+E332+F332)</f>
        <v/>
      </c>
      <c r="D332" s="30" t="str">
        <f>IF(A332="","",ROUND(G331*$C$8/12,2))</f>
        <v/>
      </c>
      <c r="E332" s="30" t="str">
        <f>IF(A332="","",IF(A332=($C$9*12),G331,$G$7-D332))</f>
        <v/>
      </c>
      <c r="F332" s="30" t="str">
        <f>IF(A332="","",$G$8)</f>
        <v/>
      </c>
      <c r="G332" s="30" t="str">
        <f>IF(A332="","",G331-E332)</f>
        <v/>
      </c>
    </row>
    <row r="333">
      <c r="A333" s="27" t="str">
        <f>IF(316&lt;=($C$9*12),316,"")</f>
        <v/>
      </c>
      <c r="B333" s="28" t="str">
        <f>IF(A333="","",EDATE($C$10,A333-1))</f>
        <v/>
      </c>
      <c r="C333" s="29" t="str">
        <f>IF(A333="","",D333+E333+F333)</f>
        <v/>
      </c>
      <c r="D333" s="30" t="str">
        <f>IF(A333="","",ROUND(G332*$C$8/12,2))</f>
        <v/>
      </c>
      <c r="E333" s="30" t="str">
        <f>IF(A333="","",IF(A333=($C$9*12),G332,$G$7-D333))</f>
        <v/>
      </c>
      <c r="F333" s="30" t="str">
        <f>IF(A333="","",$G$8)</f>
        <v/>
      </c>
      <c r="G333" s="30" t="str">
        <f>IF(A333="","",G332-E333)</f>
        <v/>
      </c>
    </row>
    <row r="334">
      <c r="A334" s="27" t="str">
        <f>IF(317&lt;=($C$9*12),317,"")</f>
        <v/>
      </c>
      <c r="B334" s="28" t="str">
        <f>IF(A334="","",EDATE($C$10,A334-1))</f>
        <v/>
      </c>
      <c r="C334" s="29" t="str">
        <f>IF(A334="","",D334+E334+F334)</f>
        <v/>
      </c>
      <c r="D334" s="30" t="str">
        <f>IF(A334="","",ROUND(G333*$C$8/12,2))</f>
        <v/>
      </c>
      <c r="E334" s="30" t="str">
        <f>IF(A334="","",IF(A334=($C$9*12),G333,$G$7-D334))</f>
        <v/>
      </c>
      <c r="F334" s="30" t="str">
        <f>IF(A334="","",$G$8)</f>
        <v/>
      </c>
      <c r="G334" s="30" t="str">
        <f>IF(A334="","",G333-E334)</f>
        <v/>
      </c>
    </row>
    <row r="335">
      <c r="A335" s="27" t="str">
        <f>IF(318&lt;=($C$9*12),318,"")</f>
        <v/>
      </c>
      <c r="B335" s="28" t="str">
        <f>IF(A335="","",EDATE($C$10,A335-1))</f>
        <v/>
      </c>
      <c r="C335" s="29" t="str">
        <f>IF(A335="","",D335+E335+F335)</f>
        <v/>
      </c>
      <c r="D335" s="30" t="str">
        <f>IF(A335="","",ROUND(G334*$C$8/12,2))</f>
        <v/>
      </c>
      <c r="E335" s="30" t="str">
        <f>IF(A335="","",IF(A335=($C$9*12),G334,$G$7-D335))</f>
        <v/>
      </c>
      <c r="F335" s="30" t="str">
        <f>IF(A335="","",$G$8)</f>
        <v/>
      </c>
      <c r="G335" s="30" t="str">
        <f>IF(A335="","",G334-E335)</f>
        <v/>
      </c>
    </row>
    <row r="336">
      <c r="A336" s="27" t="str">
        <f>IF(319&lt;=($C$9*12),319,"")</f>
        <v/>
      </c>
      <c r="B336" s="28" t="str">
        <f>IF(A336="","",EDATE($C$10,A336-1))</f>
        <v/>
      </c>
      <c r="C336" s="29" t="str">
        <f>IF(A336="","",D336+E336+F336)</f>
        <v/>
      </c>
      <c r="D336" s="30" t="str">
        <f>IF(A336="","",ROUND(G335*$C$8/12,2))</f>
        <v/>
      </c>
      <c r="E336" s="30" t="str">
        <f>IF(A336="","",IF(A336=($C$9*12),G335,$G$7-D336))</f>
        <v/>
      </c>
      <c r="F336" s="30" t="str">
        <f>IF(A336="","",$G$8)</f>
        <v/>
      </c>
      <c r="G336" s="30" t="str">
        <f>IF(A336="","",G335-E336)</f>
        <v/>
      </c>
    </row>
    <row r="337">
      <c r="A337" s="27" t="str">
        <f>IF(320&lt;=($C$9*12),320,"")</f>
        <v/>
      </c>
      <c r="B337" s="28" t="str">
        <f>IF(A337="","",EDATE($C$10,A337-1))</f>
        <v/>
      </c>
      <c r="C337" s="29" t="str">
        <f>IF(A337="","",D337+E337+F337)</f>
        <v/>
      </c>
      <c r="D337" s="30" t="str">
        <f>IF(A337="","",ROUND(G336*$C$8/12,2))</f>
        <v/>
      </c>
      <c r="E337" s="30" t="str">
        <f>IF(A337="","",IF(A337=($C$9*12),G336,$G$7-D337))</f>
        <v/>
      </c>
      <c r="F337" s="30" t="str">
        <f>IF(A337="","",$G$8)</f>
        <v/>
      </c>
      <c r="G337" s="30" t="str">
        <f>IF(A337="","",G336-E337)</f>
        <v/>
      </c>
    </row>
    <row r="338">
      <c r="A338" s="27" t="str">
        <f>IF(321&lt;=($C$9*12),321,"")</f>
        <v/>
      </c>
      <c r="B338" s="28" t="str">
        <f>IF(A338="","",EDATE($C$10,A338-1))</f>
        <v/>
      </c>
      <c r="C338" s="29" t="str">
        <f>IF(A338="","",D338+E338+F338)</f>
        <v/>
      </c>
      <c r="D338" s="30" t="str">
        <f>IF(A338="","",ROUND(G337*$C$8/12,2))</f>
        <v/>
      </c>
      <c r="E338" s="30" t="str">
        <f>IF(A338="","",IF(A338=($C$9*12),G337,$G$7-D338))</f>
        <v/>
      </c>
      <c r="F338" s="30" t="str">
        <f>IF(A338="","",$G$8)</f>
        <v/>
      </c>
      <c r="G338" s="30" t="str">
        <f>IF(A338="","",G337-E338)</f>
        <v/>
      </c>
    </row>
    <row r="339">
      <c r="A339" s="27" t="str">
        <f>IF(322&lt;=($C$9*12),322,"")</f>
        <v/>
      </c>
      <c r="B339" s="28" t="str">
        <f>IF(A339="","",EDATE($C$10,A339-1))</f>
        <v/>
      </c>
      <c r="C339" s="29" t="str">
        <f>IF(A339="","",D339+E339+F339)</f>
        <v/>
      </c>
      <c r="D339" s="30" t="str">
        <f>IF(A339="","",ROUND(G338*$C$8/12,2))</f>
        <v/>
      </c>
      <c r="E339" s="30" t="str">
        <f>IF(A339="","",IF(A339=($C$9*12),G338,$G$7-D339))</f>
        <v/>
      </c>
      <c r="F339" s="30" t="str">
        <f>IF(A339="","",$G$8)</f>
        <v/>
      </c>
      <c r="G339" s="30" t="str">
        <f>IF(A339="","",G338-E339)</f>
        <v/>
      </c>
    </row>
    <row r="340">
      <c r="A340" s="27" t="str">
        <f>IF(323&lt;=($C$9*12),323,"")</f>
        <v/>
      </c>
      <c r="B340" s="28" t="str">
        <f>IF(A340="","",EDATE($C$10,A340-1))</f>
        <v/>
      </c>
      <c r="C340" s="29" t="str">
        <f>IF(A340="","",D340+E340+F340)</f>
        <v/>
      </c>
      <c r="D340" s="30" t="str">
        <f>IF(A340="","",ROUND(G339*$C$8/12,2))</f>
        <v/>
      </c>
      <c r="E340" s="30" t="str">
        <f>IF(A340="","",IF(A340=($C$9*12),G339,$G$7-D340))</f>
        <v/>
      </c>
      <c r="F340" s="30" t="str">
        <f>IF(A340="","",$G$8)</f>
        <v/>
      </c>
      <c r="G340" s="30" t="str">
        <f>IF(A340="","",G339-E340)</f>
        <v/>
      </c>
    </row>
    <row r="341">
      <c r="A341" s="31" t="str">
        <f>IF(324&lt;=($C$9*12),324,"")</f>
        <v/>
      </c>
      <c r="B341" s="32" t="str">
        <f>IF(A341="","",EDATE($C$10,A341-1))</f>
        <v/>
      </c>
      <c r="C341" s="33" t="str">
        <f>IF(A341="","",D341+E341+F341)</f>
        <v/>
      </c>
      <c r="D341" s="34" t="str">
        <f>IF(A341="","",ROUND(G340*$C$8/12,2))</f>
        <v/>
      </c>
      <c r="E341" s="34" t="str">
        <f>IF(A341="","",IF(A341=($C$9*12),G340,$G$7-D341))</f>
        <v/>
      </c>
      <c r="F341" s="34" t="str">
        <f>IF(A341="","",$G$8)</f>
        <v/>
      </c>
      <c r="G341" s="34" t="str">
        <f>IF(A341="","",G340-E341)</f>
        <v/>
      </c>
    </row>
    <row r="342">
      <c r="A342" s="27" t="str">
        <f>IF(325&lt;=($C$9*12),325,"")</f>
        <v/>
      </c>
      <c r="B342" s="28" t="str">
        <f>IF(A342="","",EDATE($C$10,A342-1))</f>
        <v/>
      </c>
      <c r="C342" s="29" t="str">
        <f>IF(A342="","",D342+E342+F342)</f>
        <v/>
      </c>
      <c r="D342" s="30" t="str">
        <f>IF(A342="","",ROUND(G341*$C$8/12,2))</f>
        <v/>
      </c>
      <c r="E342" s="30" t="str">
        <f>IF(A342="","",IF(A342=($C$9*12),G341,$G$7-D342))</f>
        <v/>
      </c>
      <c r="F342" s="30" t="str">
        <f>IF(A342="","",$G$8)</f>
        <v/>
      </c>
      <c r="G342" s="30" t="str">
        <f>IF(A342="","",G341-E342)</f>
        <v/>
      </c>
    </row>
    <row r="343">
      <c r="A343" s="27" t="str">
        <f>IF(326&lt;=($C$9*12),326,"")</f>
        <v/>
      </c>
      <c r="B343" s="28" t="str">
        <f>IF(A343="","",EDATE($C$10,A343-1))</f>
        <v/>
      </c>
      <c r="C343" s="29" t="str">
        <f>IF(A343="","",D343+E343+F343)</f>
        <v/>
      </c>
      <c r="D343" s="30" t="str">
        <f>IF(A343="","",ROUND(G342*$C$8/12,2))</f>
        <v/>
      </c>
      <c r="E343" s="30" t="str">
        <f>IF(A343="","",IF(A343=($C$9*12),G342,$G$7-D343))</f>
        <v/>
      </c>
      <c r="F343" s="30" t="str">
        <f>IF(A343="","",$G$8)</f>
        <v/>
      </c>
      <c r="G343" s="30" t="str">
        <f>IF(A343="","",G342-E343)</f>
        <v/>
      </c>
    </row>
    <row r="344">
      <c r="A344" s="27" t="str">
        <f>IF(327&lt;=($C$9*12),327,"")</f>
        <v/>
      </c>
      <c r="B344" s="28" t="str">
        <f>IF(A344="","",EDATE($C$10,A344-1))</f>
        <v/>
      </c>
      <c r="C344" s="29" t="str">
        <f>IF(A344="","",D344+E344+F344)</f>
        <v/>
      </c>
      <c r="D344" s="30" t="str">
        <f>IF(A344="","",ROUND(G343*$C$8/12,2))</f>
        <v/>
      </c>
      <c r="E344" s="30" t="str">
        <f>IF(A344="","",IF(A344=($C$9*12),G343,$G$7-D344))</f>
        <v/>
      </c>
      <c r="F344" s="30" t="str">
        <f>IF(A344="","",$G$8)</f>
        <v/>
      </c>
      <c r="G344" s="30" t="str">
        <f>IF(A344="","",G343-E344)</f>
        <v/>
      </c>
    </row>
    <row r="345">
      <c r="A345" s="27" t="str">
        <f>IF(328&lt;=($C$9*12),328,"")</f>
        <v/>
      </c>
      <c r="B345" s="28" t="str">
        <f>IF(A345="","",EDATE($C$10,A345-1))</f>
        <v/>
      </c>
      <c r="C345" s="29" t="str">
        <f>IF(A345="","",D345+E345+F345)</f>
        <v/>
      </c>
      <c r="D345" s="30" t="str">
        <f>IF(A345="","",ROUND(G344*$C$8/12,2))</f>
        <v/>
      </c>
      <c r="E345" s="30" t="str">
        <f>IF(A345="","",IF(A345=($C$9*12),G344,$G$7-D345))</f>
        <v/>
      </c>
      <c r="F345" s="30" t="str">
        <f>IF(A345="","",$G$8)</f>
        <v/>
      </c>
      <c r="G345" s="30" t="str">
        <f>IF(A345="","",G344-E345)</f>
        <v/>
      </c>
    </row>
    <row r="346">
      <c r="A346" s="27" t="str">
        <f>IF(329&lt;=($C$9*12),329,"")</f>
        <v/>
      </c>
      <c r="B346" s="28" t="str">
        <f>IF(A346="","",EDATE($C$10,A346-1))</f>
        <v/>
      </c>
      <c r="C346" s="29" t="str">
        <f>IF(A346="","",D346+E346+F346)</f>
        <v/>
      </c>
      <c r="D346" s="30" t="str">
        <f>IF(A346="","",ROUND(G345*$C$8/12,2))</f>
        <v/>
      </c>
      <c r="E346" s="30" t="str">
        <f>IF(A346="","",IF(A346=($C$9*12),G345,$G$7-D346))</f>
        <v/>
      </c>
      <c r="F346" s="30" t="str">
        <f>IF(A346="","",$G$8)</f>
        <v/>
      </c>
      <c r="G346" s="30" t="str">
        <f>IF(A346="","",G345-E346)</f>
        <v/>
      </c>
    </row>
    <row r="347">
      <c r="A347" s="27" t="str">
        <f>IF(330&lt;=($C$9*12),330,"")</f>
        <v/>
      </c>
      <c r="B347" s="28" t="str">
        <f>IF(A347="","",EDATE($C$10,A347-1))</f>
        <v/>
      </c>
      <c r="C347" s="29" t="str">
        <f>IF(A347="","",D347+E347+F347)</f>
        <v/>
      </c>
      <c r="D347" s="30" t="str">
        <f>IF(A347="","",ROUND(G346*$C$8/12,2))</f>
        <v/>
      </c>
      <c r="E347" s="30" t="str">
        <f>IF(A347="","",IF(A347=($C$9*12),G346,$G$7-D347))</f>
        <v/>
      </c>
      <c r="F347" s="30" t="str">
        <f>IF(A347="","",$G$8)</f>
        <v/>
      </c>
      <c r="G347" s="30" t="str">
        <f>IF(A347="","",G346-E347)</f>
        <v/>
      </c>
    </row>
    <row r="348">
      <c r="A348" s="27" t="str">
        <f>IF(331&lt;=($C$9*12),331,"")</f>
        <v/>
      </c>
      <c r="B348" s="28" t="str">
        <f>IF(A348="","",EDATE($C$10,A348-1))</f>
        <v/>
      </c>
      <c r="C348" s="29" t="str">
        <f>IF(A348="","",D348+E348+F348)</f>
        <v/>
      </c>
      <c r="D348" s="30" t="str">
        <f>IF(A348="","",ROUND(G347*$C$8/12,2))</f>
        <v/>
      </c>
      <c r="E348" s="30" t="str">
        <f>IF(A348="","",IF(A348=($C$9*12),G347,$G$7-D348))</f>
        <v/>
      </c>
      <c r="F348" s="30" t="str">
        <f>IF(A348="","",$G$8)</f>
        <v/>
      </c>
      <c r="G348" s="30" t="str">
        <f>IF(A348="","",G347-E348)</f>
        <v/>
      </c>
    </row>
    <row r="349">
      <c r="A349" s="27" t="str">
        <f>IF(332&lt;=($C$9*12),332,"")</f>
        <v/>
      </c>
      <c r="B349" s="28" t="str">
        <f>IF(A349="","",EDATE($C$10,A349-1))</f>
        <v/>
      </c>
      <c r="C349" s="29" t="str">
        <f>IF(A349="","",D349+E349+F349)</f>
        <v/>
      </c>
      <c r="D349" s="30" t="str">
        <f>IF(A349="","",ROUND(G348*$C$8/12,2))</f>
        <v/>
      </c>
      <c r="E349" s="30" t="str">
        <f>IF(A349="","",IF(A349=($C$9*12),G348,$G$7-D349))</f>
        <v/>
      </c>
      <c r="F349" s="30" t="str">
        <f>IF(A349="","",$G$8)</f>
        <v/>
      </c>
      <c r="G349" s="30" t="str">
        <f>IF(A349="","",G348-E349)</f>
        <v/>
      </c>
    </row>
    <row r="350">
      <c r="A350" s="27" t="str">
        <f>IF(333&lt;=($C$9*12),333,"")</f>
        <v/>
      </c>
      <c r="B350" s="28" t="str">
        <f>IF(A350="","",EDATE($C$10,A350-1))</f>
        <v/>
      </c>
      <c r="C350" s="29" t="str">
        <f>IF(A350="","",D350+E350+F350)</f>
        <v/>
      </c>
      <c r="D350" s="30" t="str">
        <f>IF(A350="","",ROUND(G349*$C$8/12,2))</f>
        <v/>
      </c>
      <c r="E350" s="30" t="str">
        <f>IF(A350="","",IF(A350=($C$9*12),G349,$G$7-D350))</f>
        <v/>
      </c>
      <c r="F350" s="30" t="str">
        <f>IF(A350="","",$G$8)</f>
        <v/>
      </c>
      <c r="G350" s="30" t="str">
        <f>IF(A350="","",G349-E350)</f>
        <v/>
      </c>
    </row>
    <row r="351">
      <c r="A351" s="27" t="str">
        <f>IF(334&lt;=($C$9*12),334,"")</f>
        <v/>
      </c>
      <c r="B351" s="28" t="str">
        <f>IF(A351="","",EDATE($C$10,A351-1))</f>
        <v/>
      </c>
      <c r="C351" s="29" t="str">
        <f>IF(A351="","",D351+E351+F351)</f>
        <v/>
      </c>
      <c r="D351" s="30" t="str">
        <f>IF(A351="","",ROUND(G350*$C$8/12,2))</f>
        <v/>
      </c>
      <c r="E351" s="30" t="str">
        <f>IF(A351="","",IF(A351=($C$9*12),G350,$G$7-D351))</f>
        <v/>
      </c>
      <c r="F351" s="30" t="str">
        <f>IF(A351="","",$G$8)</f>
        <v/>
      </c>
      <c r="G351" s="30" t="str">
        <f>IF(A351="","",G350-E351)</f>
        <v/>
      </c>
    </row>
    <row r="352">
      <c r="A352" s="27" t="str">
        <f>IF(335&lt;=($C$9*12),335,"")</f>
        <v/>
      </c>
      <c r="B352" s="28" t="str">
        <f>IF(A352="","",EDATE($C$10,A352-1))</f>
        <v/>
      </c>
      <c r="C352" s="29" t="str">
        <f>IF(A352="","",D352+E352+F352)</f>
        <v/>
      </c>
      <c r="D352" s="30" t="str">
        <f>IF(A352="","",ROUND(G351*$C$8/12,2))</f>
        <v/>
      </c>
      <c r="E352" s="30" t="str">
        <f>IF(A352="","",IF(A352=($C$9*12),G351,$G$7-D352))</f>
        <v/>
      </c>
      <c r="F352" s="30" t="str">
        <f>IF(A352="","",$G$8)</f>
        <v/>
      </c>
      <c r="G352" s="30" t="str">
        <f>IF(A352="","",G351-E352)</f>
        <v/>
      </c>
    </row>
    <row r="353">
      <c r="A353" s="31" t="str">
        <f>IF(336&lt;=($C$9*12),336,"")</f>
        <v/>
      </c>
      <c r="B353" s="32" t="str">
        <f>IF(A353="","",EDATE($C$10,A353-1))</f>
        <v/>
      </c>
      <c r="C353" s="33" t="str">
        <f>IF(A353="","",D353+E353+F353)</f>
        <v/>
      </c>
      <c r="D353" s="34" t="str">
        <f>IF(A353="","",ROUND(G352*$C$8/12,2))</f>
        <v/>
      </c>
      <c r="E353" s="34" t="str">
        <f>IF(A353="","",IF(A353=($C$9*12),G352,$G$7-D353))</f>
        <v/>
      </c>
      <c r="F353" s="34" t="str">
        <f>IF(A353="","",$G$8)</f>
        <v/>
      </c>
      <c r="G353" s="34" t="str">
        <f>IF(A353="","",G352-E353)</f>
        <v/>
      </c>
    </row>
    <row r="354">
      <c r="A354" s="27" t="str">
        <f>IF(337&lt;=($C$9*12),337,"")</f>
        <v/>
      </c>
      <c r="B354" s="28" t="str">
        <f>IF(A354="","",EDATE($C$10,A354-1))</f>
        <v/>
      </c>
      <c r="C354" s="29" t="str">
        <f>IF(A354="","",D354+E354+F354)</f>
        <v/>
      </c>
      <c r="D354" s="30" t="str">
        <f>IF(A354="","",ROUND(G353*$C$8/12,2))</f>
        <v/>
      </c>
      <c r="E354" s="30" t="str">
        <f>IF(A354="","",IF(A354=($C$9*12),G353,$G$7-D354))</f>
        <v/>
      </c>
      <c r="F354" s="30" t="str">
        <f>IF(A354="","",$G$8)</f>
        <v/>
      </c>
      <c r="G354" s="30" t="str">
        <f>IF(A354="","",G353-E354)</f>
        <v/>
      </c>
    </row>
    <row r="355">
      <c r="A355" s="27" t="str">
        <f>IF(338&lt;=($C$9*12),338,"")</f>
        <v/>
      </c>
      <c r="B355" s="28" t="str">
        <f>IF(A355="","",EDATE($C$10,A355-1))</f>
        <v/>
      </c>
      <c r="C355" s="29" t="str">
        <f>IF(A355="","",D355+E355+F355)</f>
        <v/>
      </c>
      <c r="D355" s="30" t="str">
        <f>IF(A355="","",ROUND(G354*$C$8/12,2))</f>
        <v/>
      </c>
      <c r="E355" s="30" t="str">
        <f>IF(A355="","",IF(A355=($C$9*12),G354,$G$7-D355))</f>
        <v/>
      </c>
      <c r="F355" s="30" t="str">
        <f>IF(A355="","",$G$8)</f>
        <v/>
      </c>
      <c r="G355" s="30" t="str">
        <f>IF(A355="","",G354-E355)</f>
        <v/>
      </c>
    </row>
    <row r="356">
      <c r="A356" s="27" t="str">
        <f>IF(339&lt;=($C$9*12),339,"")</f>
        <v/>
      </c>
      <c r="B356" s="28" t="str">
        <f>IF(A356="","",EDATE($C$10,A356-1))</f>
        <v/>
      </c>
      <c r="C356" s="29" t="str">
        <f>IF(A356="","",D356+E356+F356)</f>
        <v/>
      </c>
      <c r="D356" s="30" t="str">
        <f>IF(A356="","",ROUND(G355*$C$8/12,2))</f>
        <v/>
      </c>
      <c r="E356" s="30" t="str">
        <f>IF(A356="","",IF(A356=($C$9*12),G355,$G$7-D356))</f>
        <v/>
      </c>
      <c r="F356" s="30" t="str">
        <f>IF(A356="","",$G$8)</f>
        <v/>
      </c>
      <c r="G356" s="30" t="str">
        <f>IF(A356="","",G355-E356)</f>
        <v/>
      </c>
    </row>
    <row r="357">
      <c r="A357" s="27" t="str">
        <f>IF(340&lt;=($C$9*12),340,"")</f>
        <v/>
      </c>
      <c r="B357" s="28" t="str">
        <f>IF(A357="","",EDATE($C$10,A357-1))</f>
        <v/>
      </c>
      <c r="C357" s="29" t="str">
        <f>IF(A357="","",D357+E357+F357)</f>
        <v/>
      </c>
      <c r="D357" s="30" t="str">
        <f>IF(A357="","",ROUND(G356*$C$8/12,2))</f>
        <v/>
      </c>
      <c r="E357" s="30" t="str">
        <f>IF(A357="","",IF(A357=($C$9*12),G356,$G$7-D357))</f>
        <v/>
      </c>
      <c r="F357" s="30" t="str">
        <f>IF(A357="","",$G$8)</f>
        <v/>
      </c>
      <c r="G357" s="30" t="str">
        <f>IF(A357="","",G356-E357)</f>
        <v/>
      </c>
    </row>
    <row r="358">
      <c r="A358" s="27" t="str">
        <f>IF(341&lt;=($C$9*12),341,"")</f>
        <v/>
      </c>
      <c r="B358" s="28" t="str">
        <f>IF(A358="","",EDATE($C$10,A358-1))</f>
        <v/>
      </c>
      <c r="C358" s="29" t="str">
        <f>IF(A358="","",D358+E358+F358)</f>
        <v/>
      </c>
      <c r="D358" s="30" t="str">
        <f>IF(A358="","",ROUND(G357*$C$8/12,2))</f>
        <v/>
      </c>
      <c r="E358" s="30" t="str">
        <f>IF(A358="","",IF(A358=($C$9*12),G357,$G$7-D358))</f>
        <v/>
      </c>
      <c r="F358" s="30" t="str">
        <f>IF(A358="","",$G$8)</f>
        <v/>
      </c>
      <c r="G358" s="30" t="str">
        <f>IF(A358="","",G357-E358)</f>
        <v/>
      </c>
    </row>
    <row r="359">
      <c r="A359" s="27" t="str">
        <f>IF(342&lt;=($C$9*12),342,"")</f>
        <v/>
      </c>
      <c r="B359" s="28" t="str">
        <f>IF(A359="","",EDATE($C$10,A359-1))</f>
        <v/>
      </c>
      <c r="C359" s="29" t="str">
        <f>IF(A359="","",D359+E359+F359)</f>
        <v/>
      </c>
      <c r="D359" s="30" t="str">
        <f>IF(A359="","",ROUND(G358*$C$8/12,2))</f>
        <v/>
      </c>
      <c r="E359" s="30" t="str">
        <f>IF(A359="","",IF(A359=($C$9*12),G358,$G$7-D359))</f>
        <v/>
      </c>
      <c r="F359" s="30" t="str">
        <f>IF(A359="","",$G$8)</f>
        <v/>
      </c>
      <c r="G359" s="30" t="str">
        <f>IF(A359="","",G358-E359)</f>
        <v/>
      </c>
    </row>
    <row r="360">
      <c r="A360" s="27" t="str">
        <f>IF(343&lt;=($C$9*12),343,"")</f>
        <v/>
      </c>
      <c r="B360" s="28" t="str">
        <f>IF(A360="","",EDATE($C$10,A360-1))</f>
        <v/>
      </c>
      <c r="C360" s="29" t="str">
        <f>IF(A360="","",D360+E360+F360)</f>
        <v/>
      </c>
      <c r="D360" s="30" t="str">
        <f>IF(A360="","",ROUND(G359*$C$8/12,2))</f>
        <v/>
      </c>
      <c r="E360" s="30" t="str">
        <f>IF(A360="","",IF(A360=($C$9*12),G359,$G$7-D360))</f>
        <v/>
      </c>
      <c r="F360" s="30" t="str">
        <f>IF(A360="","",$G$8)</f>
        <v/>
      </c>
      <c r="G360" s="30" t="str">
        <f>IF(A360="","",G359-E360)</f>
        <v/>
      </c>
    </row>
    <row r="361">
      <c r="A361" s="27" t="str">
        <f>IF(344&lt;=($C$9*12),344,"")</f>
        <v/>
      </c>
      <c r="B361" s="28" t="str">
        <f>IF(A361="","",EDATE($C$10,A361-1))</f>
        <v/>
      </c>
      <c r="C361" s="29" t="str">
        <f>IF(A361="","",D361+E361+F361)</f>
        <v/>
      </c>
      <c r="D361" s="30" t="str">
        <f>IF(A361="","",ROUND(G360*$C$8/12,2))</f>
        <v/>
      </c>
      <c r="E361" s="30" t="str">
        <f>IF(A361="","",IF(A361=($C$9*12),G360,$G$7-D361))</f>
        <v/>
      </c>
      <c r="F361" s="30" t="str">
        <f>IF(A361="","",$G$8)</f>
        <v/>
      </c>
      <c r="G361" s="30" t="str">
        <f>IF(A361="","",G360-E361)</f>
        <v/>
      </c>
    </row>
    <row r="362">
      <c r="A362" s="27" t="str">
        <f>IF(345&lt;=($C$9*12),345,"")</f>
        <v/>
      </c>
      <c r="B362" s="28" t="str">
        <f>IF(A362="","",EDATE($C$10,A362-1))</f>
        <v/>
      </c>
      <c r="C362" s="29" t="str">
        <f>IF(A362="","",D362+E362+F362)</f>
        <v/>
      </c>
      <c r="D362" s="30" t="str">
        <f>IF(A362="","",ROUND(G361*$C$8/12,2))</f>
        <v/>
      </c>
      <c r="E362" s="30" t="str">
        <f>IF(A362="","",IF(A362=($C$9*12),G361,$G$7-D362))</f>
        <v/>
      </c>
      <c r="F362" s="30" t="str">
        <f>IF(A362="","",$G$8)</f>
        <v/>
      </c>
      <c r="G362" s="30" t="str">
        <f>IF(A362="","",G361-E362)</f>
        <v/>
      </c>
    </row>
    <row r="363">
      <c r="A363" s="27" t="str">
        <f>IF(346&lt;=($C$9*12),346,"")</f>
        <v/>
      </c>
      <c r="B363" s="28" t="str">
        <f>IF(A363="","",EDATE($C$10,A363-1))</f>
        <v/>
      </c>
      <c r="C363" s="29" t="str">
        <f>IF(A363="","",D363+E363+F363)</f>
        <v/>
      </c>
      <c r="D363" s="30" t="str">
        <f>IF(A363="","",ROUND(G362*$C$8/12,2))</f>
        <v/>
      </c>
      <c r="E363" s="30" t="str">
        <f>IF(A363="","",IF(A363=($C$9*12),G362,$G$7-D363))</f>
        <v/>
      </c>
      <c r="F363" s="30" t="str">
        <f>IF(A363="","",$G$8)</f>
        <v/>
      </c>
      <c r="G363" s="30" t="str">
        <f>IF(A363="","",G362-E363)</f>
        <v/>
      </c>
    </row>
    <row r="364">
      <c r="A364" s="27" t="str">
        <f>IF(347&lt;=($C$9*12),347,"")</f>
        <v/>
      </c>
      <c r="B364" s="28" t="str">
        <f>IF(A364="","",EDATE($C$10,A364-1))</f>
        <v/>
      </c>
      <c r="C364" s="29" t="str">
        <f>IF(A364="","",D364+E364+F364)</f>
        <v/>
      </c>
      <c r="D364" s="30" t="str">
        <f>IF(A364="","",ROUND(G363*$C$8/12,2))</f>
        <v/>
      </c>
      <c r="E364" s="30" t="str">
        <f>IF(A364="","",IF(A364=($C$9*12),G363,$G$7-D364))</f>
        <v/>
      </c>
      <c r="F364" s="30" t="str">
        <f>IF(A364="","",$G$8)</f>
        <v/>
      </c>
      <c r="G364" s="30" t="str">
        <f>IF(A364="","",G363-E364)</f>
        <v/>
      </c>
    </row>
    <row r="365">
      <c r="A365" s="31" t="str">
        <f>IF(348&lt;=($C$9*12),348,"")</f>
        <v/>
      </c>
      <c r="B365" s="32" t="str">
        <f>IF(A365="","",EDATE($C$10,A365-1))</f>
        <v/>
      </c>
      <c r="C365" s="33" t="str">
        <f>IF(A365="","",D365+E365+F365)</f>
        <v/>
      </c>
      <c r="D365" s="34" t="str">
        <f>IF(A365="","",ROUND(G364*$C$8/12,2))</f>
        <v/>
      </c>
      <c r="E365" s="34" t="str">
        <f>IF(A365="","",IF(A365=($C$9*12),G364,$G$7-D365))</f>
        <v/>
      </c>
      <c r="F365" s="34" t="str">
        <f>IF(A365="","",$G$8)</f>
        <v/>
      </c>
      <c r="G365" s="34" t="str">
        <f>IF(A365="","",G364-E365)</f>
        <v/>
      </c>
    </row>
    <row r="366">
      <c r="A366" s="27" t="str">
        <f>IF(349&lt;=($C$9*12),349,"")</f>
        <v/>
      </c>
      <c r="B366" s="28" t="str">
        <f>IF(A366="","",EDATE($C$10,A366-1))</f>
        <v/>
      </c>
      <c r="C366" s="29" t="str">
        <f>IF(A366="","",D366+E366+F366)</f>
        <v/>
      </c>
      <c r="D366" s="30" t="str">
        <f>IF(A366="","",ROUND(G365*$C$8/12,2))</f>
        <v/>
      </c>
      <c r="E366" s="30" t="str">
        <f>IF(A366="","",IF(A366=($C$9*12),G365,$G$7-D366))</f>
        <v/>
      </c>
      <c r="F366" s="30" t="str">
        <f>IF(A366="","",$G$8)</f>
        <v/>
      </c>
      <c r="G366" s="30" t="str">
        <f>IF(A366="","",G365-E366)</f>
        <v/>
      </c>
    </row>
    <row r="367">
      <c r="A367" s="27" t="str">
        <f>IF(350&lt;=($C$9*12),350,"")</f>
        <v/>
      </c>
      <c r="B367" s="28" t="str">
        <f>IF(A367="","",EDATE($C$10,A367-1))</f>
        <v/>
      </c>
      <c r="C367" s="29" t="str">
        <f>IF(A367="","",D367+E367+F367)</f>
        <v/>
      </c>
      <c r="D367" s="30" t="str">
        <f>IF(A367="","",ROUND(G366*$C$8/12,2))</f>
        <v/>
      </c>
      <c r="E367" s="30" t="str">
        <f>IF(A367="","",IF(A367=($C$9*12),G366,$G$7-D367))</f>
        <v/>
      </c>
      <c r="F367" s="30" t="str">
        <f>IF(A367="","",$G$8)</f>
        <v/>
      </c>
      <c r="G367" s="30" t="str">
        <f>IF(A367="","",G366-E367)</f>
        <v/>
      </c>
    </row>
    <row r="368">
      <c r="A368" s="27" t="str">
        <f>IF(351&lt;=($C$9*12),351,"")</f>
        <v/>
      </c>
      <c r="B368" s="28" t="str">
        <f>IF(A368="","",EDATE($C$10,A368-1))</f>
        <v/>
      </c>
      <c r="C368" s="29" t="str">
        <f>IF(A368="","",D368+E368+F368)</f>
        <v/>
      </c>
      <c r="D368" s="30" t="str">
        <f>IF(A368="","",ROUND(G367*$C$8/12,2))</f>
        <v/>
      </c>
      <c r="E368" s="30" t="str">
        <f>IF(A368="","",IF(A368=($C$9*12),G367,$G$7-D368))</f>
        <v/>
      </c>
      <c r="F368" s="30" t="str">
        <f>IF(A368="","",$G$8)</f>
        <v/>
      </c>
      <c r="G368" s="30" t="str">
        <f>IF(A368="","",G367-E368)</f>
        <v/>
      </c>
    </row>
    <row r="369">
      <c r="A369" s="27" t="str">
        <f>IF(352&lt;=($C$9*12),352,"")</f>
        <v/>
      </c>
      <c r="B369" s="28" t="str">
        <f>IF(A369="","",EDATE($C$10,A369-1))</f>
        <v/>
      </c>
      <c r="C369" s="29" t="str">
        <f>IF(A369="","",D369+E369+F369)</f>
        <v/>
      </c>
      <c r="D369" s="30" t="str">
        <f>IF(A369="","",ROUND(G368*$C$8/12,2))</f>
        <v/>
      </c>
      <c r="E369" s="30" t="str">
        <f>IF(A369="","",IF(A369=($C$9*12),G368,$G$7-D369))</f>
        <v/>
      </c>
      <c r="F369" s="30" t="str">
        <f>IF(A369="","",$G$8)</f>
        <v/>
      </c>
      <c r="G369" s="30" t="str">
        <f>IF(A369="","",G368-E369)</f>
        <v/>
      </c>
    </row>
    <row r="370">
      <c r="A370" s="27" t="str">
        <f>IF(353&lt;=($C$9*12),353,"")</f>
        <v/>
      </c>
      <c r="B370" s="28" t="str">
        <f>IF(A370="","",EDATE($C$10,A370-1))</f>
        <v/>
      </c>
      <c r="C370" s="29" t="str">
        <f>IF(A370="","",D370+E370+F370)</f>
        <v/>
      </c>
      <c r="D370" s="30" t="str">
        <f>IF(A370="","",ROUND(G369*$C$8/12,2))</f>
        <v/>
      </c>
      <c r="E370" s="30" t="str">
        <f>IF(A370="","",IF(A370=($C$9*12),G369,$G$7-D370))</f>
        <v/>
      </c>
      <c r="F370" s="30" t="str">
        <f>IF(A370="","",$G$8)</f>
        <v/>
      </c>
      <c r="G370" s="30" t="str">
        <f>IF(A370="","",G369-E370)</f>
        <v/>
      </c>
    </row>
    <row r="371">
      <c r="A371" s="27" t="str">
        <f>IF(354&lt;=($C$9*12),354,"")</f>
        <v/>
      </c>
      <c r="B371" s="28" t="str">
        <f>IF(A371="","",EDATE($C$10,A371-1))</f>
        <v/>
      </c>
      <c r="C371" s="29" t="str">
        <f>IF(A371="","",D371+E371+F371)</f>
        <v/>
      </c>
      <c r="D371" s="30" t="str">
        <f>IF(A371="","",ROUND(G370*$C$8/12,2))</f>
        <v/>
      </c>
      <c r="E371" s="30" t="str">
        <f>IF(A371="","",IF(A371=($C$9*12),G370,$G$7-D371))</f>
        <v/>
      </c>
      <c r="F371" s="30" t="str">
        <f>IF(A371="","",$G$8)</f>
        <v/>
      </c>
      <c r="G371" s="30" t="str">
        <f>IF(A371="","",G370-E371)</f>
        <v/>
      </c>
    </row>
    <row r="372">
      <c r="A372" s="27" t="str">
        <f>IF(355&lt;=($C$9*12),355,"")</f>
        <v/>
      </c>
      <c r="B372" s="28" t="str">
        <f>IF(A372="","",EDATE($C$10,A372-1))</f>
        <v/>
      </c>
      <c r="C372" s="29" t="str">
        <f>IF(A372="","",D372+E372+F372)</f>
        <v/>
      </c>
      <c r="D372" s="30" t="str">
        <f>IF(A372="","",ROUND(G371*$C$8/12,2))</f>
        <v/>
      </c>
      <c r="E372" s="30" t="str">
        <f>IF(A372="","",IF(A372=($C$9*12),G371,$G$7-D372))</f>
        <v/>
      </c>
      <c r="F372" s="30" t="str">
        <f>IF(A372="","",$G$8)</f>
        <v/>
      </c>
      <c r="G372" s="30" t="str">
        <f>IF(A372="","",G371-E372)</f>
        <v/>
      </c>
    </row>
    <row r="373">
      <c r="A373" s="27" t="str">
        <f>IF(356&lt;=($C$9*12),356,"")</f>
        <v/>
      </c>
      <c r="B373" s="28" t="str">
        <f>IF(A373="","",EDATE($C$10,A373-1))</f>
        <v/>
      </c>
      <c r="C373" s="29" t="str">
        <f>IF(A373="","",D373+E373+F373)</f>
        <v/>
      </c>
      <c r="D373" s="30" t="str">
        <f>IF(A373="","",ROUND(G372*$C$8/12,2))</f>
        <v/>
      </c>
      <c r="E373" s="30" t="str">
        <f>IF(A373="","",IF(A373=($C$9*12),G372,$G$7-D373))</f>
        <v/>
      </c>
      <c r="F373" s="30" t="str">
        <f>IF(A373="","",$G$8)</f>
        <v/>
      </c>
      <c r="G373" s="30" t="str">
        <f>IF(A373="","",G372-E373)</f>
        <v/>
      </c>
    </row>
    <row r="374">
      <c r="A374" s="27" t="str">
        <f>IF(357&lt;=($C$9*12),357,"")</f>
        <v/>
      </c>
      <c r="B374" s="28" t="str">
        <f>IF(A374="","",EDATE($C$10,A374-1))</f>
        <v/>
      </c>
      <c r="C374" s="29" t="str">
        <f>IF(A374="","",D374+E374+F374)</f>
        <v/>
      </c>
      <c r="D374" s="30" t="str">
        <f>IF(A374="","",ROUND(G373*$C$8/12,2))</f>
        <v/>
      </c>
      <c r="E374" s="30" t="str">
        <f>IF(A374="","",IF(A374=($C$9*12),G373,$G$7-D374))</f>
        <v/>
      </c>
      <c r="F374" s="30" t="str">
        <f>IF(A374="","",$G$8)</f>
        <v/>
      </c>
      <c r="G374" s="30" t="str">
        <f>IF(A374="","",G373-E374)</f>
        <v/>
      </c>
    </row>
    <row r="375">
      <c r="A375" s="27" t="str">
        <f>IF(358&lt;=($C$9*12),358,"")</f>
        <v/>
      </c>
      <c r="B375" s="28" t="str">
        <f>IF(A375="","",EDATE($C$10,A375-1))</f>
        <v/>
      </c>
      <c r="C375" s="29" t="str">
        <f>IF(A375="","",D375+E375+F375)</f>
        <v/>
      </c>
      <c r="D375" s="30" t="str">
        <f>IF(A375="","",ROUND(G374*$C$8/12,2))</f>
        <v/>
      </c>
      <c r="E375" s="30" t="str">
        <f>IF(A375="","",IF(A375=($C$9*12),G374,$G$7-D375))</f>
        <v/>
      </c>
      <c r="F375" s="30" t="str">
        <f>IF(A375="","",$G$8)</f>
        <v/>
      </c>
      <c r="G375" s="30" t="str">
        <f>IF(A375="","",G374-E375)</f>
        <v/>
      </c>
    </row>
    <row r="376">
      <c r="A376" s="27" t="str">
        <f>IF(359&lt;=($C$9*12),359,"")</f>
        <v/>
      </c>
      <c r="B376" s="28" t="str">
        <f>IF(A376="","",EDATE($C$10,A376-1))</f>
        <v/>
      </c>
      <c r="C376" s="29" t="str">
        <f>IF(A376="","",D376+E376+F376)</f>
        <v/>
      </c>
      <c r="D376" s="30" t="str">
        <f>IF(A376="","",ROUND(G375*$C$8/12,2))</f>
        <v/>
      </c>
      <c r="E376" s="30" t="str">
        <f>IF(A376="","",IF(A376=($C$9*12),G375,$G$7-D376))</f>
        <v/>
      </c>
      <c r="F376" s="30" t="str">
        <f>IF(A376="","",$G$8)</f>
        <v/>
      </c>
      <c r="G376" s="30" t="str">
        <f>IF(A376="","",G375-E376)</f>
        <v/>
      </c>
    </row>
    <row r="377">
      <c r="A377" s="31" t="str">
        <f>IF(360&lt;=($C$9*12),360,"")</f>
        <v/>
      </c>
      <c r="B377" s="32" t="str">
        <f>IF(A377="","",EDATE($C$10,A377-1))</f>
        <v/>
      </c>
      <c r="C377" s="33" t="str">
        <f>IF(A377="","",D377+E377+F377)</f>
        <v/>
      </c>
      <c r="D377" s="34" t="str">
        <f>IF(A377="","",ROUND(G376*$C$8/12,2))</f>
        <v/>
      </c>
      <c r="E377" s="34" t="str">
        <f>IF(A377="","",IF(A377=($C$9*12),G376,$G$7-D377))</f>
        <v/>
      </c>
      <c r="F377" s="34" t="str">
        <f>IF(A377="","",$G$8)</f>
        <v/>
      </c>
      <c r="G377" s="34" t="str">
        <f>IF(A377="","",G376-E377)</f>
        <v/>
      </c>
    </row>
  </sheetData>
  <mergeCells count="8">
    <mergeCell ref="E12:F12"/>
    <mergeCell ref="E7:F7"/>
    <mergeCell ref="E10:F10"/>
    <mergeCell ref="E11:F11"/>
    <mergeCell ref="E13:F13"/>
    <mergeCell ref="E14:F14"/>
    <mergeCell ref="E9:F9"/>
    <mergeCell ref="E8:F8"/>
  </mergeCells>
  <dataValidations count="1">
    <dataValidation sqref="C9" showDropDown="0" showInputMessage="0" showErrorMessage="0" allowBlank="0" error="Une durée de 1 à 30 ans." type="whole" operator="between">
      <formula1>1</formula1>
      <formula2>30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8" customWidth="1" min="4" max="4"/>
    <col width="14" customWidth="1" min="5" max="5"/>
    <col width="16" customWidth="1" min="6" max="6"/>
    <col width="20" customWidth="1" min="7" max="7"/>
    <col width="3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2" t="inlineStr">
        <is>
          <t>Année par année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 ht="22" customHeight="1">
      <c r="A3" s="1" t="n"/>
      <c r="B3" s="3" t="inlineStr">
        <is>
          <t>Intérêts, capital et assurance payés chaque année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</row>
    <row r="6" ht="30" customHeight="1">
      <c r="B6" s="26" t="inlineStr">
        <is>
          <t>Année</t>
        </is>
      </c>
      <c r="C6" s="26" t="inlineStr">
        <is>
          <t>Intérêts</t>
        </is>
      </c>
      <c r="D6" s="26" t="inlineStr">
        <is>
          <t>Capital remboursé</t>
        </is>
      </c>
      <c r="E6" s="26" t="inlineStr">
        <is>
          <t>Assurance</t>
        </is>
      </c>
      <c r="F6" s="26" t="inlineStr">
        <is>
          <t>Total payé</t>
        </is>
      </c>
      <c r="G6" s="26" t="inlineStr">
        <is>
          <t>Restant au 31/12</t>
        </is>
      </c>
    </row>
    <row r="7">
      <c r="B7" s="27">
        <f>IF(YEAR('Tableau d''amortissement'!$C$10)+0&gt;YEAR('Tableau d''amortissement'!$G$13),"",YEAR('Tableau d''amortissement'!$C$10)+0)</f>
        <v>2026</v>
      </c>
      <c r="C7" s="35">
        <f>IF(B7="","",SUMIFS('Tableau d''amortissement'!$D$18:$D$377,'Tableau d''amortissement'!$B$18:$B$377,"&gt;="&amp;DATE(B7,1,1),'Tableau d''amortissement'!$B$18:$B$377,"&lt;="&amp;DATE(B7,12,31)))</f>
        <v>566.67</v>
      </c>
      <c r="D7" s="35">
        <f>IF(B7="","",SUMIFS('Tableau d''amortissement'!$E$18:$E$377,'Tableau d''amortissement'!$B$18:$B$377,"&gt;="&amp;DATE(B7,1,1),'Tableau d''amortissement'!$B$18:$B$377,"&lt;="&amp;DATE(B7,12,31)))</f>
        <v>583.0</v>
      </c>
      <c r="E7" s="35">
        <f>IF(B7="","",SUMIFS('Tableau d''amortissement'!$F$18:$F$377,'Tableau d''amortissement'!$B$18:$B$377,"&gt;="&amp;DATE(B7,1,1),'Tableau d''amortissement'!$B$18:$B$377,"&lt;="&amp;DATE(B7,12,31)))</f>
        <v>50.0</v>
      </c>
      <c r="F7" s="35">
        <f>IF(B7="","",C7+D7+E7)</f>
        <v>1199.67</v>
      </c>
      <c r="G7" s="35">
        <f>IF(B7="","",'Tableau d''amortissement'!$C$7-SUMIFS('Tableau d''amortissement'!$E$18:$E$377,'Tableau d''amortissement'!$B$18:$B$377,"&lt;="&amp;DATE(B7,12,31)))</f>
        <v>199417.0</v>
      </c>
    </row>
    <row r="8">
      <c r="B8" s="27">
        <f>IF(YEAR('Tableau d''amortissement'!$C$10)+1&gt;YEAR('Tableau d''amortissement'!$G$13),"",YEAR('Tableau d''amortissement'!$C$10)+1)</f>
        <v>2027</v>
      </c>
      <c r="C8" s="35">
        <f>IF(B8="","",SUMIFS('Tableau d''amortissement'!$D$18:$D$377,'Tableau d''amortissement'!$B$18:$B$377,"&gt;="&amp;DATE(B8,1,1),'Tableau d''amortissement'!$B$18:$B$377,"&lt;="&amp;DATE(B8,12,31)))</f>
        <v>6669.82</v>
      </c>
      <c r="D8" s="35">
        <f>IF(B8="","",SUMIFS('Tableau d''amortissement'!$E$18:$E$377,'Tableau d''amortissement'!$B$18:$B$377,"&gt;="&amp;DATE(B8,1,1),'Tableau d''amortissement'!$B$18:$B$377,"&lt;="&amp;DATE(B8,12,31)))</f>
        <v>7126.22</v>
      </c>
      <c r="E8" s="35">
        <f>IF(B8="","",SUMIFS('Tableau d''amortissement'!$F$18:$F$377,'Tableau d''amortissement'!$B$18:$B$377,"&gt;="&amp;DATE(B8,1,1),'Tableau d''amortissement'!$B$18:$B$377,"&lt;="&amp;DATE(B8,12,31)))</f>
        <v>600.0</v>
      </c>
      <c r="F8" s="35">
        <f>IF(B8="","",C8+D8+E8)</f>
        <v>14396.04</v>
      </c>
      <c r="G8" s="35">
        <f>IF(B8="","",'Tableau d''amortissement'!$C$7-SUMIFS('Tableau d''amortissement'!$E$18:$E$377,'Tableau d''amortissement'!$B$18:$B$377,"&lt;="&amp;DATE(B8,12,31)))</f>
        <v>192290.78</v>
      </c>
    </row>
    <row r="9">
      <c r="B9" s="27">
        <f>IF(YEAR('Tableau d''amortissement'!$C$10)+2&gt;YEAR('Tableau d''amortissement'!$G$13),"",YEAR('Tableau d''amortissement'!$C$10)+2)</f>
        <v>2028</v>
      </c>
      <c r="C9" s="35">
        <f>IF(B9="","",SUMIFS('Tableau d''amortissement'!$D$18:$D$377,'Tableau d''amortissement'!$B$18:$B$377,"&gt;="&amp;DATE(B9,1,1),'Tableau d''amortissement'!$B$18:$B$377,"&lt;="&amp;DATE(B9,12,31)))</f>
        <v>6423.71</v>
      </c>
      <c r="D9" s="35">
        <f>IF(B9="","",SUMIFS('Tableau d''amortissement'!$E$18:$E$377,'Tableau d''amortissement'!$B$18:$B$377,"&gt;="&amp;DATE(B9,1,1),'Tableau d''amortissement'!$B$18:$B$377,"&lt;="&amp;DATE(B9,12,31)))</f>
        <v>7372.33</v>
      </c>
      <c r="E9" s="35">
        <f>IF(B9="","",SUMIFS('Tableau d''amortissement'!$F$18:$F$377,'Tableau d''amortissement'!$B$18:$B$377,"&gt;="&amp;DATE(B9,1,1),'Tableau d''amortissement'!$B$18:$B$377,"&lt;="&amp;DATE(B9,12,31)))</f>
        <v>600.0</v>
      </c>
      <c r="F9" s="35">
        <f>IF(B9="","",C9+D9+E9)</f>
        <v>14396.04</v>
      </c>
      <c r="G9" s="35">
        <f>IF(B9="","",'Tableau d''amortissement'!$C$7-SUMIFS('Tableau d''amortissement'!$E$18:$E$377,'Tableau d''amortissement'!$B$18:$B$377,"&lt;="&amp;DATE(B9,12,31)))</f>
        <v>184918.45</v>
      </c>
    </row>
    <row r="10">
      <c r="B10" s="27">
        <f>IF(YEAR('Tableau d''amortissement'!$C$10)+3&gt;YEAR('Tableau d''amortissement'!$G$13),"",YEAR('Tableau d''amortissement'!$C$10)+3)</f>
        <v>2029</v>
      </c>
      <c r="C10" s="35">
        <f>IF(B10="","",SUMIFS('Tableau d''amortissement'!$D$18:$D$377,'Tableau d''amortissement'!$B$18:$B$377,"&gt;="&amp;DATE(B10,1,1),'Tableau d''amortissement'!$B$18:$B$377,"&lt;="&amp;DATE(B10,12,31)))</f>
        <v>6169.09</v>
      </c>
      <c r="D10" s="35">
        <f>IF(B10="","",SUMIFS('Tableau d''amortissement'!$E$18:$E$377,'Tableau d''amortissement'!$B$18:$B$377,"&gt;="&amp;DATE(B10,1,1),'Tableau d''amortissement'!$B$18:$B$377,"&lt;="&amp;DATE(B10,12,31)))</f>
        <v>7626.95</v>
      </c>
      <c r="E10" s="35">
        <f>IF(B10="","",SUMIFS('Tableau d''amortissement'!$F$18:$F$377,'Tableau d''amortissement'!$B$18:$B$377,"&gt;="&amp;DATE(B10,1,1),'Tableau d''amortissement'!$B$18:$B$377,"&lt;="&amp;DATE(B10,12,31)))</f>
        <v>600.0</v>
      </c>
      <c r="F10" s="35">
        <f>IF(B10="","",C10+D10+E10)</f>
        <v>14396.04</v>
      </c>
      <c r="G10" s="35">
        <f>IF(B10="","",'Tableau d''amortissement'!$C$7-SUMIFS('Tableau d''amortissement'!$E$18:$E$377,'Tableau d''amortissement'!$B$18:$B$377,"&lt;="&amp;DATE(B10,12,31)))</f>
        <v>177291.5</v>
      </c>
    </row>
    <row r="11">
      <c r="B11" s="27">
        <f>IF(YEAR('Tableau d''amortissement'!$C$10)+4&gt;YEAR('Tableau d''amortissement'!$G$13),"",YEAR('Tableau d''amortissement'!$C$10)+4)</f>
        <v>2030</v>
      </c>
      <c r="C11" s="35">
        <f>IF(B11="","",SUMIFS('Tableau d''amortissement'!$D$18:$D$377,'Tableau d''amortissement'!$B$18:$B$377,"&gt;="&amp;DATE(B11,1,1),'Tableau d''amortissement'!$B$18:$B$377,"&lt;="&amp;DATE(B11,12,31)))</f>
        <v>5905.71</v>
      </c>
      <c r="D11" s="35">
        <f>IF(B11="","",SUMIFS('Tableau d''amortissement'!$E$18:$E$377,'Tableau d''amortissement'!$B$18:$B$377,"&gt;="&amp;DATE(B11,1,1),'Tableau d''amortissement'!$B$18:$B$377,"&lt;="&amp;DATE(B11,12,31)))</f>
        <v>7890.33</v>
      </c>
      <c r="E11" s="35">
        <f>IF(B11="","",SUMIFS('Tableau d''amortissement'!$F$18:$F$377,'Tableau d''amortissement'!$B$18:$B$377,"&gt;="&amp;DATE(B11,1,1),'Tableau d''amortissement'!$B$18:$B$377,"&lt;="&amp;DATE(B11,12,31)))</f>
        <v>600.0</v>
      </c>
      <c r="F11" s="35">
        <f>IF(B11="","",C11+D11+E11)</f>
        <v>14396.04</v>
      </c>
      <c r="G11" s="35">
        <f>IF(B11="","",'Tableau d''amortissement'!$C$7-SUMIFS('Tableau d''amortissement'!$E$18:$E$377,'Tableau d''amortissement'!$B$18:$B$377,"&lt;="&amp;DATE(B11,12,31)))</f>
        <v>169401.17</v>
      </c>
    </row>
    <row r="12">
      <c r="B12" s="27">
        <f>IF(YEAR('Tableau d''amortissement'!$C$10)+5&gt;YEAR('Tableau d''amortissement'!$G$13),"",YEAR('Tableau d''amortissement'!$C$10)+5)</f>
        <v>2031</v>
      </c>
      <c r="C12" s="35">
        <f>IF(B12="","",SUMIFS('Tableau d''amortissement'!$D$18:$D$377,'Tableau d''amortissement'!$B$18:$B$377,"&gt;="&amp;DATE(B12,1,1),'Tableau d''amortissement'!$B$18:$B$377,"&lt;="&amp;DATE(B12,12,31)))</f>
        <v>5633.21</v>
      </c>
      <c r="D12" s="35">
        <f>IF(B12="","",SUMIFS('Tableau d''amortissement'!$E$18:$E$377,'Tableau d''amortissement'!$B$18:$B$377,"&gt;="&amp;DATE(B12,1,1),'Tableau d''amortissement'!$B$18:$B$377,"&lt;="&amp;DATE(B12,12,31)))</f>
        <v>8162.83</v>
      </c>
      <c r="E12" s="35">
        <f>IF(B12="","",SUMIFS('Tableau d''amortissement'!$F$18:$F$377,'Tableau d''amortissement'!$B$18:$B$377,"&gt;="&amp;DATE(B12,1,1),'Tableau d''amortissement'!$B$18:$B$377,"&lt;="&amp;DATE(B12,12,31)))</f>
        <v>600.0</v>
      </c>
      <c r="F12" s="35">
        <f>IF(B12="","",C12+D12+E12)</f>
        <v>14396.04</v>
      </c>
      <c r="G12" s="35">
        <f>IF(B12="","",'Tableau d''amortissement'!$C$7-SUMIFS('Tableau d''amortissement'!$E$18:$E$377,'Tableau d''amortissement'!$B$18:$B$377,"&lt;="&amp;DATE(B12,12,31)))</f>
        <v>161238.34</v>
      </c>
    </row>
    <row r="13">
      <c r="B13" s="27">
        <f>IF(YEAR('Tableau d''amortissement'!$C$10)+6&gt;YEAR('Tableau d''amortissement'!$G$13),"",YEAR('Tableau d''amortissement'!$C$10)+6)</f>
        <v>2032</v>
      </c>
      <c r="C13" s="35">
        <f>IF(B13="","",SUMIFS('Tableau d''amortissement'!$D$18:$D$377,'Tableau d''amortissement'!$B$18:$B$377,"&gt;="&amp;DATE(B13,1,1),'Tableau d''amortissement'!$B$18:$B$377,"&lt;="&amp;DATE(B13,12,31)))</f>
        <v>5351.31</v>
      </c>
      <c r="D13" s="35">
        <f>IF(B13="","",SUMIFS('Tableau d''amortissement'!$E$18:$E$377,'Tableau d''amortissement'!$B$18:$B$377,"&gt;="&amp;DATE(B13,1,1),'Tableau d''amortissement'!$B$18:$B$377,"&lt;="&amp;DATE(B13,12,31)))</f>
        <v>8444.73</v>
      </c>
      <c r="E13" s="35">
        <f>IF(B13="","",SUMIFS('Tableau d''amortissement'!$F$18:$F$377,'Tableau d''amortissement'!$B$18:$B$377,"&gt;="&amp;DATE(B13,1,1),'Tableau d''amortissement'!$B$18:$B$377,"&lt;="&amp;DATE(B13,12,31)))</f>
        <v>600.0</v>
      </c>
      <c r="F13" s="35">
        <f>IF(B13="","",C13+D13+E13)</f>
        <v>14396.04</v>
      </c>
      <c r="G13" s="35">
        <f>IF(B13="","",'Tableau d''amortissement'!$C$7-SUMIFS('Tableau d''amortissement'!$E$18:$E$377,'Tableau d''amortissement'!$B$18:$B$377,"&lt;="&amp;DATE(B13,12,31)))</f>
        <v>152793.61</v>
      </c>
    </row>
    <row r="14">
      <c r="B14" s="27">
        <f>IF(YEAR('Tableau d''amortissement'!$C$10)+7&gt;YEAR('Tableau d''amortissement'!$G$13),"",YEAR('Tableau d''amortissement'!$C$10)+7)</f>
        <v>2033</v>
      </c>
      <c r="C14" s="35">
        <f>IF(B14="","",SUMIFS('Tableau d''amortissement'!$D$18:$D$377,'Tableau d''amortissement'!$B$18:$B$377,"&gt;="&amp;DATE(B14,1,1),'Tableau d''amortissement'!$B$18:$B$377,"&lt;="&amp;DATE(B14,12,31)))</f>
        <v>5059.69</v>
      </c>
      <c r="D14" s="35">
        <f>IF(B14="","",SUMIFS('Tableau d''amortissement'!$E$18:$E$377,'Tableau d''amortissement'!$B$18:$B$377,"&gt;="&amp;DATE(B14,1,1),'Tableau d''amortissement'!$B$18:$B$377,"&lt;="&amp;DATE(B14,12,31)))</f>
        <v>8736.35</v>
      </c>
      <c r="E14" s="35">
        <f>IF(B14="","",SUMIFS('Tableau d''amortissement'!$F$18:$F$377,'Tableau d''amortissement'!$B$18:$B$377,"&gt;="&amp;DATE(B14,1,1),'Tableau d''amortissement'!$B$18:$B$377,"&lt;="&amp;DATE(B14,12,31)))</f>
        <v>600.0</v>
      </c>
      <c r="F14" s="35">
        <f>IF(B14="","",C14+D14+E14)</f>
        <v>14396.04</v>
      </c>
      <c r="G14" s="35">
        <f>IF(B14="","",'Tableau d''amortissement'!$C$7-SUMIFS('Tableau d''amortissement'!$E$18:$E$377,'Tableau d''amortissement'!$B$18:$B$377,"&lt;="&amp;DATE(B14,12,31)))</f>
        <v>144057.26</v>
      </c>
    </row>
    <row r="15">
      <c r="B15" s="27">
        <f>IF(YEAR('Tableau d''amortissement'!$C$10)+8&gt;YEAR('Tableau d''amortissement'!$G$13),"",YEAR('Tableau d''amortissement'!$C$10)+8)</f>
        <v>2034</v>
      </c>
      <c r="C15" s="35">
        <f>IF(B15="","",SUMIFS('Tableau d''amortissement'!$D$18:$D$377,'Tableau d''amortissement'!$B$18:$B$377,"&gt;="&amp;DATE(B15,1,1),'Tableau d''amortissement'!$B$18:$B$377,"&lt;="&amp;DATE(B15,12,31)))</f>
        <v>4757.96</v>
      </c>
      <c r="D15" s="35">
        <f>IF(B15="","",SUMIFS('Tableau d''amortissement'!$E$18:$E$377,'Tableau d''amortissement'!$B$18:$B$377,"&gt;="&amp;DATE(B15,1,1),'Tableau d''amortissement'!$B$18:$B$377,"&lt;="&amp;DATE(B15,12,31)))</f>
        <v>9038.08</v>
      </c>
      <c r="E15" s="35">
        <f>IF(B15="","",SUMIFS('Tableau d''amortissement'!$F$18:$F$377,'Tableau d''amortissement'!$B$18:$B$377,"&gt;="&amp;DATE(B15,1,1),'Tableau d''amortissement'!$B$18:$B$377,"&lt;="&amp;DATE(B15,12,31)))</f>
        <v>600.0</v>
      </c>
      <c r="F15" s="35">
        <f>IF(B15="","",C15+D15+E15)</f>
        <v>14396.04</v>
      </c>
      <c r="G15" s="35">
        <f>IF(B15="","",'Tableau d''amortissement'!$C$7-SUMIFS('Tableau d''amortissement'!$E$18:$E$377,'Tableau d''amortissement'!$B$18:$B$377,"&lt;="&amp;DATE(B15,12,31)))</f>
        <v>135019.18</v>
      </c>
    </row>
    <row r="16">
      <c r="B16" s="27">
        <f>IF(YEAR('Tableau d''amortissement'!$C$10)+9&gt;YEAR('Tableau d''amortissement'!$G$13),"",YEAR('Tableau d''amortissement'!$C$10)+9)</f>
        <v>2035</v>
      </c>
      <c r="C16" s="35">
        <f>IF(B16="","",SUMIFS('Tableau d''amortissement'!$D$18:$D$377,'Tableau d''amortissement'!$B$18:$B$377,"&gt;="&amp;DATE(B16,1,1),'Tableau d''amortissement'!$B$18:$B$377,"&lt;="&amp;DATE(B16,12,31)))</f>
        <v>4445.83</v>
      </c>
      <c r="D16" s="35">
        <f>IF(B16="","",SUMIFS('Tableau d''amortissement'!$E$18:$E$377,'Tableau d''amortissement'!$B$18:$B$377,"&gt;="&amp;DATE(B16,1,1),'Tableau d''amortissement'!$B$18:$B$377,"&lt;="&amp;DATE(B16,12,31)))</f>
        <v>9350.21</v>
      </c>
      <c r="E16" s="35">
        <f>IF(B16="","",SUMIFS('Tableau d''amortissement'!$F$18:$F$377,'Tableau d''amortissement'!$B$18:$B$377,"&gt;="&amp;DATE(B16,1,1),'Tableau d''amortissement'!$B$18:$B$377,"&lt;="&amp;DATE(B16,12,31)))</f>
        <v>600.0</v>
      </c>
      <c r="F16" s="35">
        <f>IF(B16="","",C16+D16+E16)</f>
        <v>14396.04</v>
      </c>
      <c r="G16" s="35">
        <f>IF(B16="","",'Tableau d''amortissement'!$C$7-SUMIFS('Tableau d''amortissement'!$E$18:$E$377,'Tableau d''amortissement'!$B$18:$B$377,"&lt;="&amp;DATE(B16,12,31)))</f>
        <v>125668.97</v>
      </c>
    </row>
    <row r="17">
      <c r="B17" s="27">
        <f>IF(YEAR('Tableau d''amortissement'!$C$10)+10&gt;YEAR('Tableau d''amortissement'!$G$13),"",YEAR('Tableau d''amortissement'!$C$10)+10)</f>
        <v>2036</v>
      </c>
      <c r="C17" s="35">
        <f>IF(B17="","",SUMIFS('Tableau d''amortissement'!$D$18:$D$377,'Tableau d''amortissement'!$B$18:$B$377,"&gt;="&amp;DATE(B17,1,1),'Tableau d''amortissement'!$B$18:$B$377,"&lt;="&amp;DATE(B17,12,31)))</f>
        <v>4122.92</v>
      </c>
      <c r="D17" s="35">
        <f>IF(B17="","",SUMIFS('Tableau d''amortissement'!$E$18:$E$377,'Tableau d''amortissement'!$B$18:$B$377,"&gt;="&amp;DATE(B17,1,1),'Tableau d''amortissement'!$B$18:$B$377,"&lt;="&amp;DATE(B17,12,31)))</f>
        <v>9673.12</v>
      </c>
      <c r="E17" s="35">
        <f>IF(B17="","",SUMIFS('Tableau d''amortissement'!$F$18:$F$377,'Tableau d''amortissement'!$B$18:$B$377,"&gt;="&amp;DATE(B17,1,1),'Tableau d''amortissement'!$B$18:$B$377,"&lt;="&amp;DATE(B17,12,31)))</f>
        <v>600.0</v>
      </c>
      <c r="F17" s="35">
        <f>IF(B17="","",C17+D17+E17)</f>
        <v>14396.04</v>
      </c>
      <c r="G17" s="35">
        <f>IF(B17="","",'Tableau d''amortissement'!$C$7-SUMIFS('Tableau d''amortissement'!$E$18:$E$377,'Tableau d''amortissement'!$B$18:$B$377,"&lt;="&amp;DATE(B17,12,31)))</f>
        <v>115995.85</v>
      </c>
    </row>
    <row r="18">
      <c r="B18" s="27">
        <f>IF(YEAR('Tableau d''amortissement'!$C$10)+11&gt;YEAR('Tableau d''amortissement'!$G$13),"",YEAR('Tableau d''amortissement'!$C$10)+11)</f>
        <v>2037</v>
      </c>
      <c r="C18" s="35">
        <f>IF(B18="","",SUMIFS('Tableau d''amortissement'!$D$18:$D$377,'Tableau d''amortissement'!$B$18:$B$377,"&gt;="&amp;DATE(B18,1,1),'Tableau d''amortissement'!$B$18:$B$377,"&lt;="&amp;DATE(B18,12,31)))</f>
        <v>3788.87</v>
      </c>
      <c r="D18" s="35">
        <f>IF(B18="","",SUMIFS('Tableau d''amortissement'!$E$18:$E$377,'Tableau d''amortissement'!$B$18:$B$377,"&gt;="&amp;DATE(B18,1,1),'Tableau d''amortissement'!$B$18:$B$377,"&lt;="&amp;DATE(B18,12,31)))</f>
        <v>10007.17</v>
      </c>
      <c r="E18" s="35">
        <f>IF(B18="","",SUMIFS('Tableau d''amortissement'!$F$18:$F$377,'Tableau d''amortissement'!$B$18:$B$377,"&gt;="&amp;DATE(B18,1,1),'Tableau d''amortissement'!$B$18:$B$377,"&lt;="&amp;DATE(B18,12,31)))</f>
        <v>600.0</v>
      </c>
      <c r="F18" s="35">
        <f>IF(B18="","",C18+D18+E18)</f>
        <v>14396.04</v>
      </c>
      <c r="G18" s="35">
        <f>IF(B18="","",'Tableau d''amortissement'!$C$7-SUMIFS('Tableau d''amortissement'!$E$18:$E$377,'Tableau d''amortissement'!$B$18:$B$377,"&lt;="&amp;DATE(B18,12,31)))</f>
        <v>105988.68</v>
      </c>
    </row>
    <row r="19">
      <c r="B19" s="27">
        <f>IF(YEAR('Tableau d''amortissement'!$C$10)+12&gt;YEAR('Tableau d''amortissement'!$G$13),"",YEAR('Tableau d''amortissement'!$C$10)+12)</f>
        <v>2038</v>
      </c>
      <c r="C19" s="35">
        <f>IF(B19="","",SUMIFS('Tableau d''amortissement'!$D$18:$D$377,'Tableau d''amortissement'!$B$18:$B$377,"&gt;="&amp;DATE(B19,1,1),'Tableau d''amortissement'!$B$18:$B$377,"&lt;="&amp;DATE(B19,12,31)))</f>
        <v>3443.27</v>
      </c>
      <c r="D19" s="35">
        <f>IF(B19="","",SUMIFS('Tableau d''amortissement'!$E$18:$E$377,'Tableau d''amortissement'!$B$18:$B$377,"&gt;="&amp;DATE(B19,1,1),'Tableau d''amortissement'!$B$18:$B$377,"&lt;="&amp;DATE(B19,12,31)))</f>
        <v>10352.77</v>
      </c>
      <c r="E19" s="35">
        <f>IF(B19="","",SUMIFS('Tableau d''amortissement'!$F$18:$F$377,'Tableau d''amortissement'!$B$18:$B$377,"&gt;="&amp;DATE(B19,1,1),'Tableau d''amortissement'!$B$18:$B$377,"&lt;="&amp;DATE(B19,12,31)))</f>
        <v>600.0</v>
      </c>
      <c r="F19" s="35">
        <f>IF(B19="","",C19+D19+E19)</f>
        <v>14396.04</v>
      </c>
      <c r="G19" s="35">
        <f>IF(B19="","",'Tableau d''amortissement'!$C$7-SUMIFS('Tableau d''amortissement'!$E$18:$E$377,'Tableau d''amortissement'!$B$18:$B$377,"&lt;="&amp;DATE(B19,12,31)))</f>
        <v>95635.91</v>
      </c>
    </row>
    <row r="20">
      <c r="B20" s="27">
        <f>IF(YEAR('Tableau d''amortissement'!$C$10)+13&gt;YEAR('Tableau d''amortissement'!$G$13),"",YEAR('Tableau d''amortissement'!$C$10)+13)</f>
        <v>2039</v>
      </c>
      <c r="C20" s="35">
        <f>IF(B20="","",SUMIFS('Tableau d''amortissement'!$D$18:$D$377,'Tableau d''amortissement'!$B$18:$B$377,"&gt;="&amp;DATE(B20,1,1),'Tableau d''amortissement'!$B$18:$B$377,"&lt;="&amp;DATE(B20,12,31)))</f>
        <v>3085.74</v>
      </c>
      <c r="D20" s="35">
        <f>IF(B20="","",SUMIFS('Tableau d''amortissement'!$E$18:$E$377,'Tableau d''amortissement'!$B$18:$B$377,"&gt;="&amp;DATE(B20,1,1),'Tableau d''amortissement'!$B$18:$B$377,"&lt;="&amp;DATE(B20,12,31)))</f>
        <v>10710.3</v>
      </c>
      <c r="E20" s="35">
        <f>IF(B20="","",SUMIFS('Tableau d''amortissement'!$F$18:$F$377,'Tableau d''amortissement'!$B$18:$B$377,"&gt;="&amp;DATE(B20,1,1),'Tableau d''amortissement'!$B$18:$B$377,"&lt;="&amp;DATE(B20,12,31)))</f>
        <v>600.0</v>
      </c>
      <c r="F20" s="35">
        <f>IF(B20="","",C20+D20+E20)</f>
        <v>14396.04</v>
      </c>
      <c r="G20" s="35">
        <f>IF(B20="","",'Tableau d''amortissement'!$C$7-SUMIFS('Tableau d''amortissement'!$E$18:$E$377,'Tableau d''amortissement'!$B$18:$B$377,"&lt;="&amp;DATE(B20,12,31)))</f>
        <v>84925.61</v>
      </c>
    </row>
    <row r="21">
      <c r="B21" s="27">
        <f>IF(YEAR('Tableau d''amortissement'!$C$10)+14&gt;YEAR('Tableau d''amortissement'!$G$13),"",YEAR('Tableau d''amortissement'!$C$10)+14)</f>
        <v>2040</v>
      </c>
      <c r="C21" s="35">
        <f>IF(B21="","",SUMIFS('Tableau d''amortissement'!$D$18:$D$377,'Tableau d''amortissement'!$B$18:$B$377,"&gt;="&amp;DATE(B21,1,1),'Tableau d''amortissement'!$B$18:$B$377,"&lt;="&amp;DATE(B21,12,31)))</f>
        <v>2715.87</v>
      </c>
      <c r="D21" s="35">
        <f>IF(B21="","",SUMIFS('Tableau d''amortissement'!$E$18:$E$377,'Tableau d''amortissement'!$B$18:$B$377,"&gt;="&amp;DATE(B21,1,1),'Tableau d''amortissement'!$B$18:$B$377,"&lt;="&amp;DATE(B21,12,31)))</f>
        <v>11080.17</v>
      </c>
      <c r="E21" s="35">
        <f>IF(B21="","",SUMIFS('Tableau d''amortissement'!$F$18:$F$377,'Tableau d''amortissement'!$B$18:$B$377,"&gt;="&amp;DATE(B21,1,1),'Tableau d''amortissement'!$B$18:$B$377,"&lt;="&amp;DATE(B21,12,31)))</f>
        <v>600.0</v>
      </c>
      <c r="F21" s="35">
        <f>IF(B21="","",C21+D21+E21)</f>
        <v>14396.04</v>
      </c>
      <c r="G21" s="35">
        <f>IF(B21="","",'Tableau d''amortissement'!$C$7-SUMIFS('Tableau d''amortissement'!$E$18:$E$377,'Tableau d''amortissement'!$B$18:$B$377,"&lt;="&amp;DATE(B21,12,31)))</f>
        <v>73845.44</v>
      </c>
    </row>
    <row r="22">
      <c r="B22" s="27">
        <f>IF(YEAR('Tableau d''amortissement'!$C$10)+15&gt;YEAR('Tableau d''amortissement'!$G$13),"",YEAR('Tableau d''amortissement'!$C$10)+15)</f>
        <v>2041</v>
      </c>
      <c r="C22" s="35">
        <f>IF(B22="","",SUMIFS('Tableau d''amortissement'!$D$18:$D$377,'Tableau d''amortissement'!$B$18:$B$377,"&gt;="&amp;DATE(B22,1,1),'Tableau d''amortissement'!$B$18:$B$377,"&lt;="&amp;DATE(B22,12,31)))</f>
        <v>2333.21</v>
      </c>
      <c r="D22" s="35">
        <f>IF(B22="","",SUMIFS('Tableau d''amortissement'!$E$18:$E$377,'Tableau d''amortissement'!$B$18:$B$377,"&gt;="&amp;DATE(B22,1,1),'Tableau d''amortissement'!$B$18:$B$377,"&lt;="&amp;DATE(B22,12,31)))</f>
        <v>11462.83</v>
      </c>
      <c r="E22" s="35">
        <f>IF(B22="","",SUMIFS('Tableau d''amortissement'!$F$18:$F$377,'Tableau d''amortissement'!$B$18:$B$377,"&gt;="&amp;DATE(B22,1,1),'Tableau d''amortissement'!$B$18:$B$377,"&lt;="&amp;DATE(B22,12,31)))</f>
        <v>600.0</v>
      </c>
      <c r="F22" s="35">
        <f>IF(B22="","",C22+D22+E22)</f>
        <v>14396.04</v>
      </c>
      <c r="G22" s="35">
        <f>IF(B22="","",'Tableau d''amortissement'!$C$7-SUMIFS('Tableau d''amortissement'!$E$18:$E$377,'Tableau d''amortissement'!$B$18:$B$377,"&lt;="&amp;DATE(B22,12,31)))</f>
        <v>62382.61</v>
      </c>
    </row>
    <row r="23">
      <c r="B23" s="27">
        <f>IF(YEAR('Tableau d''amortissement'!$C$10)+16&gt;YEAR('Tableau d''amortissement'!$G$13),"",YEAR('Tableau d''amortissement'!$C$10)+16)</f>
        <v>2042</v>
      </c>
      <c r="C23" s="35">
        <f>IF(B23="","",SUMIFS('Tableau d''amortissement'!$D$18:$D$377,'Tableau d''amortissement'!$B$18:$B$377,"&gt;="&amp;DATE(B23,1,1),'Tableau d''amortissement'!$B$18:$B$377,"&lt;="&amp;DATE(B23,12,31)))</f>
        <v>1937.34</v>
      </c>
      <c r="D23" s="35">
        <f>IF(B23="","",SUMIFS('Tableau d''amortissement'!$E$18:$E$377,'Tableau d''amortissement'!$B$18:$B$377,"&gt;="&amp;DATE(B23,1,1),'Tableau d''amortissement'!$B$18:$B$377,"&lt;="&amp;DATE(B23,12,31)))</f>
        <v>11858.7</v>
      </c>
      <c r="E23" s="35">
        <f>IF(B23="","",SUMIFS('Tableau d''amortissement'!$F$18:$F$377,'Tableau d''amortissement'!$B$18:$B$377,"&gt;="&amp;DATE(B23,1,1),'Tableau d''amortissement'!$B$18:$B$377,"&lt;="&amp;DATE(B23,12,31)))</f>
        <v>600.0</v>
      </c>
      <c r="F23" s="35">
        <f>IF(B23="","",C23+D23+E23)</f>
        <v>14396.04</v>
      </c>
      <c r="G23" s="35">
        <f>IF(B23="","",'Tableau d''amortissement'!$C$7-SUMIFS('Tableau d''amortissement'!$E$18:$E$377,'Tableau d''amortissement'!$B$18:$B$377,"&lt;="&amp;DATE(B23,12,31)))</f>
        <v>50523.91</v>
      </c>
    </row>
    <row r="24">
      <c r="B24" s="27">
        <f>IF(YEAR('Tableau d''amortissement'!$C$10)+17&gt;YEAR('Tableau d''amortissement'!$G$13),"",YEAR('Tableau d''amortissement'!$C$10)+17)</f>
        <v>2043</v>
      </c>
      <c r="C24" s="35">
        <f>IF(B24="","",SUMIFS('Tableau d''amortissement'!$D$18:$D$377,'Tableau d''amortissement'!$B$18:$B$377,"&gt;="&amp;DATE(B24,1,1),'Tableau d''amortissement'!$B$18:$B$377,"&lt;="&amp;DATE(B24,12,31)))</f>
        <v>1527.81</v>
      </c>
      <c r="D24" s="35">
        <f>IF(B24="","",SUMIFS('Tableau d''amortissement'!$E$18:$E$377,'Tableau d''amortissement'!$B$18:$B$377,"&gt;="&amp;DATE(B24,1,1),'Tableau d''amortissement'!$B$18:$B$377,"&lt;="&amp;DATE(B24,12,31)))</f>
        <v>12268.23</v>
      </c>
      <c r="E24" s="35">
        <f>IF(B24="","",SUMIFS('Tableau d''amortissement'!$F$18:$F$377,'Tableau d''amortissement'!$B$18:$B$377,"&gt;="&amp;DATE(B24,1,1),'Tableau d''amortissement'!$B$18:$B$377,"&lt;="&amp;DATE(B24,12,31)))</f>
        <v>600.0</v>
      </c>
      <c r="F24" s="35">
        <f>IF(B24="","",C24+D24+E24)</f>
        <v>14396.04</v>
      </c>
      <c r="G24" s="35">
        <f>IF(B24="","",'Tableau d''amortissement'!$C$7-SUMIFS('Tableau d''amortissement'!$E$18:$E$377,'Tableau d''amortissement'!$B$18:$B$377,"&lt;="&amp;DATE(B24,12,31)))</f>
        <v>38255.68</v>
      </c>
    </row>
    <row r="25">
      <c r="B25" s="27">
        <f>IF(YEAR('Tableau d''amortissement'!$C$10)+18&gt;YEAR('Tableau d''amortissement'!$G$13),"",YEAR('Tableau d''amortissement'!$C$10)+18)</f>
        <v>2044</v>
      </c>
      <c r="C25" s="35">
        <f>IF(B25="","",SUMIFS('Tableau d''amortissement'!$D$18:$D$377,'Tableau d''amortissement'!$B$18:$B$377,"&gt;="&amp;DATE(B25,1,1),'Tableau d''amortissement'!$B$18:$B$377,"&lt;="&amp;DATE(B25,12,31)))</f>
        <v>1104.12</v>
      </c>
      <c r="D25" s="35">
        <f>IF(B25="","",SUMIFS('Tableau d''amortissement'!$E$18:$E$377,'Tableau d''amortissement'!$B$18:$B$377,"&gt;="&amp;DATE(B25,1,1),'Tableau d''amortissement'!$B$18:$B$377,"&lt;="&amp;DATE(B25,12,31)))</f>
        <v>12691.92</v>
      </c>
      <c r="E25" s="35">
        <f>IF(B25="","",SUMIFS('Tableau d''amortissement'!$F$18:$F$377,'Tableau d''amortissement'!$B$18:$B$377,"&gt;="&amp;DATE(B25,1,1),'Tableau d''amortissement'!$B$18:$B$377,"&lt;="&amp;DATE(B25,12,31)))</f>
        <v>600.0</v>
      </c>
      <c r="F25" s="35">
        <f>IF(B25="","",C25+D25+E25)</f>
        <v>14396.04</v>
      </c>
      <c r="G25" s="35">
        <f>IF(B25="","",'Tableau d''amortissement'!$C$7-SUMIFS('Tableau d''amortissement'!$E$18:$E$377,'Tableau d''amortissement'!$B$18:$B$377,"&lt;="&amp;DATE(B25,12,31)))</f>
        <v>25563.76</v>
      </c>
    </row>
    <row r="26">
      <c r="B26" s="27">
        <f>IF(YEAR('Tableau d''amortissement'!$C$10)+19&gt;YEAR('Tableau d''amortissement'!$G$13),"",YEAR('Tableau d''amortissement'!$C$10)+19)</f>
        <v>2045</v>
      </c>
      <c r="C26" s="35">
        <f>IF(B26="","",SUMIFS('Tableau d''amortissement'!$D$18:$D$377,'Tableau d''amortissement'!$B$18:$B$377,"&gt;="&amp;DATE(B26,1,1),'Tableau d''amortissement'!$B$18:$B$377,"&lt;="&amp;DATE(B26,12,31)))</f>
        <v>665.82</v>
      </c>
      <c r="D26" s="35">
        <f>IF(B26="","",SUMIFS('Tableau d''amortissement'!$E$18:$E$377,'Tableau d''amortissement'!$B$18:$B$377,"&gt;="&amp;DATE(B26,1,1),'Tableau d''amortissement'!$B$18:$B$377,"&lt;="&amp;DATE(B26,12,31)))</f>
        <v>13130.22</v>
      </c>
      <c r="E26" s="35">
        <f>IF(B26="","",SUMIFS('Tableau d''amortissement'!$F$18:$F$377,'Tableau d''amortissement'!$B$18:$B$377,"&gt;="&amp;DATE(B26,1,1),'Tableau d''amortissement'!$B$18:$B$377,"&lt;="&amp;DATE(B26,12,31)))</f>
        <v>600.0</v>
      </c>
      <c r="F26" s="35">
        <f>IF(B26="","",C26+D26+E26)</f>
        <v>14396.04</v>
      </c>
      <c r="G26" s="35">
        <f>IF(B26="","",'Tableau d''amortissement'!$C$7-SUMIFS('Tableau d''amortissement'!$E$18:$E$377,'Tableau d''amortissement'!$B$18:$B$377,"&lt;="&amp;DATE(B26,12,31)))</f>
        <v>12433.54</v>
      </c>
    </row>
    <row r="27">
      <c r="B27" s="27">
        <f>IF(YEAR('Tableau d''amortissement'!$C$10)+20&gt;YEAR('Tableau d''amortissement'!$G$13),"",YEAR('Tableau d''amortissement'!$C$10)+20)</f>
        <v>2046</v>
      </c>
      <c r="C27" s="35">
        <f>IF(B27="","",SUMIFS('Tableau d''amortissement'!$D$18:$D$377,'Tableau d''amortissement'!$B$18:$B$377,"&gt;="&amp;DATE(B27,1,1),'Tableau d''amortissement'!$B$18:$B$377,"&lt;="&amp;DATE(B27,12,31)))</f>
        <v>212.37</v>
      </c>
      <c r="D27" s="35">
        <f>IF(B27="","",SUMIFS('Tableau d''amortissement'!$E$18:$E$377,'Tableau d''amortissement'!$B$18:$B$377,"&gt;="&amp;DATE(B27,1,1),'Tableau d''amortissement'!$B$18:$B$377,"&lt;="&amp;DATE(B27,12,31)))</f>
        <v>12433.54</v>
      </c>
      <c r="E27" s="35">
        <f>IF(B27="","",SUMIFS('Tableau d''amortissement'!$F$18:$F$377,'Tableau d''amortissement'!$B$18:$B$377,"&gt;="&amp;DATE(B27,1,1),'Tableau d''amortissement'!$B$18:$B$377,"&lt;="&amp;DATE(B27,12,31)))</f>
        <v>550.0</v>
      </c>
      <c r="F27" s="35">
        <f>IF(B27="","",C27+D27+E27)</f>
        <v>13195.91</v>
      </c>
      <c r="G27" s="35">
        <f>IF(B27="","",'Tableau d''amortissement'!$C$7-SUMIFS('Tableau d''amortissement'!$E$18:$E$377,'Tableau d''amortissement'!$B$18:$B$377,"&lt;="&amp;DATE(B27,12,31)))</f>
        <v>0.0</v>
      </c>
    </row>
    <row r="28">
      <c r="B28" s="27" t="str">
        <f>IF(YEAR('Tableau d''amortissement'!$C$10)+21&gt;YEAR('Tableau d''amortissement'!$G$13),"",YEAR('Tableau d''amortissement'!$C$10)+21)</f>
        <v/>
      </c>
      <c r="C28" s="35" t="str">
        <f>IF(B28="","",SUMIFS('Tableau d''amortissement'!$D$18:$D$377,'Tableau d''amortissement'!$B$18:$B$377,"&gt;="&amp;DATE(B28,1,1),'Tableau d''amortissement'!$B$18:$B$377,"&lt;="&amp;DATE(B28,12,31)))</f>
        <v/>
      </c>
      <c r="D28" s="35" t="str">
        <f>IF(B28="","",SUMIFS('Tableau d''amortissement'!$E$18:$E$377,'Tableau d''amortissement'!$B$18:$B$377,"&gt;="&amp;DATE(B28,1,1),'Tableau d''amortissement'!$B$18:$B$377,"&lt;="&amp;DATE(B28,12,31)))</f>
        <v/>
      </c>
      <c r="E28" s="35" t="str">
        <f>IF(B28="","",SUMIFS('Tableau d''amortissement'!$F$18:$F$377,'Tableau d''amortissement'!$B$18:$B$377,"&gt;="&amp;DATE(B28,1,1),'Tableau d''amortissement'!$B$18:$B$377,"&lt;="&amp;DATE(B28,12,31)))</f>
        <v/>
      </c>
      <c r="F28" s="35" t="str">
        <f>IF(B28="","",C28+D28+E28)</f>
        <v/>
      </c>
      <c r="G28" s="35" t="str">
        <f>IF(B28="","",'Tableau d''amortissement'!$C$7-SUMIFS('Tableau d''amortissement'!$E$18:$E$377,'Tableau d''amortissement'!$B$18:$B$377,"&lt;="&amp;DATE(B28,12,31)))</f>
        <v/>
      </c>
    </row>
    <row r="29">
      <c r="B29" s="27" t="str">
        <f>IF(YEAR('Tableau d''amortissement'!$C$10)+22&gt;YEAR('Tableau d''amortissement'!$G$13),"",YEAR('Tableau d''amortissement'!$C$10)+22)</f>
        <v/>
      </c>
      <c r="C29" s="35" t="str">
        <f>IF(B29="","",SUMIFS('Tableau d''amortissement'!$D$18:$D$377,'Tableau d''amortissement'!$B$18:$B$377,"&gt;="&amp;DATE(B29,1,1),'Tableau d''amortissement'!$B$18:$B$377,"&lt;="&amp;DATE(B29,12,31)))</f>
        <v/>
      </c>
      <c r="D29" s="35" t="str">
        <f>IF(B29="","",SUMIFS('Tableau d''amortissement'!$E$18:$E$377,'Tableau d''amortissement'!$B$18:$B$377,"&gt;="&amp;DATE(B29,1,1),'Tableau d''amortissement'!$B$18:$B$377,"&lt;="&amp;DATE(B29,12,31)))</f>
        <v/>
      </c>
      <c r="E29" s="35" t="str">
        <f>IF(B29="","",SUMIFS('Tableau d''amortissement'!$F$18:$F$377,'Tableau d''amortissement'!$B$18:$B$377,"&gt;="&amp;DATE(B29,1,1),'Tableau d''amortissement'!$B$18:$B$377,"&lt;="&amp;DATE(B29,12,31)))</f>
        <v/>
      </c>
      <c r="F29" s="35" t="str">
        <f>IF(B29="","",C29+D29+E29)</f>
        <v/>
      </c>
      <c r="G29" s="35" t="str">
        <f>IF(B29="","",'Tableau d''amortissement'!$C$7-SUMIFS('Tableau d''amortissement'!$E$18:$E$377,'Tableau d''amortissement'!$B$18:$B$377,"&lt;="&amp;DATE(B29,12,31)))</f>
        <v/>
      </c>
    </row>
    <row r="30">
      <c r="B30" s="27" t="str">
        <f>IF(YEAR('Tableau d''amortissement'!$C$10)+23&gt;YEAR('Tableau d''amortissement'!$G$13),"",YEAR('Tableau d''amortissement'!$C$10)+23)</f>
        <v/>
      </c>
      <c r="C30" s="35" t="str">
        <f>IF(B30="","",SUMIFS('Tableau d''amortissement'!$D$18:$D$377,'Tableau d''amortissement'!$B$18:$B$377,"&gt;="&amp;DATE(B30,1,1),'Tableau d''amortissement'!$B$18:$B$377,"&lt;="&amp;DATE(B30,12,31)))</f>
        <v/>
      </c>
      <c r="D30" s="35" t="str">
        <f>IF(B30="","",SUMIFS('Tableau d''amortissement'!$E$18:$E$377,'Tableau d''amortissement'!$B$18:$B$377,"&gt;="&amp;DATE(B30,1,1),'Tableau d''amortissement'!$B$18:$B$377,"&lt;="&amp;DATE(B30,12,31)))</f>
        <v/>
      </c>
      <c r="E30" s="35" t="str">
        <f>IF(B30="","",SUMIFS('Tableau d''amortissement'!$F$18:$F$377,'Tableau d''amortissement'!$B$18:$B$377,"&gt;="&amp;DATE(B30,1,1),'Tableau d''amortissement'!$B$18:$B$377,"&lt;="&amp;DATE(B30,12,31)))</f>
        <v/>
      </c>
      <c r="F30" s="35" t="str">
        <f>IF(B30="","",C30+D30+E30)</f>
        <v/>
      </c>
      <c r="G30" s="35" t="str">
        <f>IF(B30="","",'Tableau d''amortissement'!$C$7-SUMIFS('Tableau d''amortissement'!$E$18:$E$377,'Tableau d''amortissement'!$B$18:$B$377,"&lt;="&amp;DATE(B30,12,31)))</f>
        <v/>
      </c>
    </row>
    <row r="31">
      <c r="B31" s="27" t="str">
        <f>IF(YEAR('Tableau d''amortissement'!$C$10)+24&gt;YEAR('Tableau d''amortissement'!$G$13),"",YEAR('Tableau d''amortissement'!$C$10)+24)</f>
        <v/>
      </c>
      <c r="C31" s="35" t="str">
        <f>IF(B31="","",SUMIFS('Tableau d''amortissement'!$D$18:$D$377,'Tableau d''amortissement'!$B$18:$B$377,"&gt;="&amp;DATE(B31,1,1),'Tableau d''amortissement'!$B$18:$B$377,"&lt;="&amp;DATE(B31,12,31)))</f>
        <v/>
      </c>
      <c r="D31" s="35" t="str">
        <f>IF(B31="","",SUMIFS('Tableau d''amortissement'!$E$18:$E$377,'Tableau d''amortissement'!$B$18:$B$377,"&gt;="&amp;DATE(B31,1,1),'Tableau d''amortissement'!$B$18:$B$377,"&lt;="&amp;DATE(B31,12,31)))</f>
        <v/>
      </c>
      <c r="E31" s="35" t="str">
        <f>IF(B31="","",SUMIFS('Tableau d''amortissement'!$F$18:$F$377,'Tableau d''amortissement'!$B$18:$B$377,"&gt;="&amp;DATE(B31,1,1),'Tableau d''amortissement'!$B$18:$B$377,"&lt;="&amp;DATE(B31,12,31)))</f>
        <v/>
      </c>
      <c r="F31" s="35" t="str">
        <f>IF(B31="","",C31+D31+E31)</f>
        <v/>
      </c>
      <c r="G31" s="35" t="str">
        <f>IF(B31="","",'Tableau d''amortissement'!$C$7-SUMIFS('Tableau d''amortissement'!$E$18:$E$377,'Tableau d''amortissement'!$B$18:$B$377,"&lt;="&amp;DATE(B31,12,31)))</f>
        <v/>
      </c>
    </row>
    <row r="32">
      <c r="B32" s="27" t="str">
        <f>IF(YEAR('Tableau d''amortissement'!$C$10)+25&gt;YEAR('Tableau d''amortissement'!$G$13),"",YEAR('Tableau d''amortissement'!$C$10)+25)</f>
        <v/>
      </c>
      <c r="C32" s="35" t="str">
        <f>IF(B32="","",SUMIFS('Tableau d''amortissement'!$D$18:$D$377,'Tableau d''amortissement'!$B$18:$B$377,"&gt;="&amp;DATE(B32,1,1),'Tableau d''amortissement'!$B$18:$B$377,"&lt;="&amp;DATE(B32,12,31)))</f>
        <v/>
      </c>
      <c r="D32" s="35" t="str">
        <f>IF(B32="","",SUMIFS('Tableau d''amortissement'!$E$18:$E$377,'Tableau d''amortissement'!$B$18:$B$377,"&gt;="&amp;DATE(B32,1,1),'Tableau d''amortissement'!$B$18:$B$377,"&lt;="&amp;DATE(B32,12,31)))</f>
        <v/>
      </c>
      <c r="E32" s="35" t="str">
        <f>IF(B32="","",SUMIFS('Tableau d''amortissement'!$F$18:$F$377,'Tableau d''amortissement'!$B$18:$B$377,"&gt;="&amp;DATE(B32,1,1),'Tableau d''amortissement'!$B$18:$B$377,"&lt;="&amp;DATE(B32,12,31)))</f>
        <v/>
      </c>
      <c r="F32" s="35" t="str">
        <f>IF(B32="","",C32+D32+E32)</f>
        <v/>
      </c>
      <c r="G32" s="35" t="str">
        <f>IF(B32="","",'Tableau d''amortissement'!$C$7-SUMIFS('Tableau d''amortissement'!$E$18:$E$377,'Tableau d''amortissement'!$B$18:$B$377,"&lt;="&amp;DATE(B32,12,31)))</f>
        <v/>
      </c>
    </row>
    <row r="33">
      <c r="B33" s="27" t="str">
        <f>IF(YEAR('Tableau d''amortissement'!$C$10)+26&gt;YEAR('Tableau d''amortissement'!$G$13),"",YEAR('Tableau d''amortissement'!$C$10)+26)</f>
        <v/>
      </c>
      <c r="C33" s="35" t="str">
        <f>IF(B33="","",SUMIFS('Tableau d''amortissement'!$D$18:$D$377,'Tableau d''amortissement'!$B$18:$B$377,"&gt;="&amp;DATE(B33,1,1),'Tableau d''amortissement'!$B$18:$B$377,"&lt;="&amp;DATE(B33,12,31)))</f>
        <v/>
      </c>
      <c r="D33" s="35" t="str">
        <f>IF(B33="","",SUMIFS('Tableau d''amortissement'!$E$18:$E$377,'Tableau d''amortissement'!$B$18:$B$377,"&gt;="&amp;DATE(B33,1,1),'Tableau d''amortissement'!$B$18:$B$377,"&lt;="&amp;DATE(B33,12,31)))</f>
        <v/>
      </c>
      <c r="E33" s="35" t="str">
        <f>IF(B33="","",SUMIFS('Tableau d''amortissement'!$F$18:$F$377,'Tableau d''amortissement'!$B$18:$B$377,"&gt;="&amp;DATE(B33,1,1),'Tableau d''amortissement'!$B$18:$B$377,"&lt;="&amp;DATE(B33,12,31)))</f>
        <v/>
      </c>
      <c r="F33" s="35" t="str">
        <f>IF(B33="","",C33+D33+E33)</f>
        <v/>
      </c>
      <c r="G33" s="35" t="str">
        <f>IF(B33="","",'Tableau d''amortissement'!$C$7-SUMIFS('Tableau d''amortissement'!$E$18:$E$377,'Tableau d''amortissement'!$B$18:$B$377,"&lt;="&amp;DATE(B33,12,31)))</f>
        <v/>
      </c>
    </row>
    <row r="34">
      <c r="B34" s="27" t="str">
        <f>IF(YEAR('Tableau d''amortissement'!$C$10)+27&gt;YEAR('Tableau d''amortissement'!$G$13),"",YEAR('Tableau d''amortissement'!$C$10)+27)</f>
        <v/>
      </c>
      <c r="C34" s="35" t="str">
        <f>IF(B34="","",SUMIFS('Tableau d''amortissement'!$D$18:$D$377,'Tableau d''amortissement'!$B$18:$B$377,"&gt;="&amp;DATE(B34,1,1),'Tableau d''amortissement'!$B$18:$B$377,"&lt;="&amp;DATE(B34,12,31)))</f>
        <v/>
      </c>
      <c r="D34" s="35" t="str">
        <f>IF(B34="","",SUMIFS('Tableau d''amortissement'!$E$18:$E$377,'Tableau d''amortissement'!$B$18:$B$377,"&gt;="&amp;DATE(B34,1,1),'Tableau d''amortissement'!$B$18:$B$377,"&lt;="&amp;DATE(B34,12,31)))</f>
        <v/>
      </c>
      <c r="E34" s="35" t="str">
        <f>IF(B34="","",SUMIFS('Tableau d''amortissement'!$F$18:$F$377,'Tableau d''amortissement'!$B$18:$B$377,"&gt;="&amp;DATE(B34,1,1),'Tableau d''amortissement'!$B$18:$B$377,"&lt;="&amp;DATE(B34,12,31)))</f>
        <v/>
      </c>
      <c r="F34" s="35" t="str">
        <f>IF(B34="","",C34+D34+E34)</f>
        <v/>
      </c>
      <c r="G34" s="35" t="str">
        <f>IF(B34="","",'Tableau d''amortissement'!$C$7-SUMIFS('Tableau d''amortissement'!$E$18:$E$377,'Tableau d''amortissement'!$B$18:$B$377,"&lt;="&amp;DATE(B34,12,31)))</f>
        <v/>
      </c>
    </row>
    <row r="35">
      <c r="B35" s="27" t="str">
        <f>IF(YEAR('Tableau d''amortissement'!$C$10)+28&gt;YEAR('Tableau d''amortissement'!$G$13),"",YEAR('Tableau d''amortissement'!$C$10)+28)</f>
        <v/>
      </c>
      <c r="C35" s="35" t="str">
        <f>IF(B35="","",SUMIFS('Tableau d''amortissement'!$D$18:$D$377,'Tableau d''amortissement'!$B$18:$B$377,"&gt;="&amp;DATE(B35,1,1),'Tableau d''amortissement'!$B$18:$B$377,"&lt;="&amp;DATE(B35,12,31)))</f>
        <v/>
      </c>
      <c r="D35" s="35" t="str">
        <f>IF(B35="","",SUMIFS('Tableau d''amortissement'!$E$18:$E$377,'Tableau d''amortissement'!$B$18:$B$377,"&gt;="&amp;DATE(B35,1,1),'Tableau d''amortissement'!$B$18:$B$377,"&lt;="&amp;DATE(B35,12,31)))</f>
        <v/>
      </c>
      <c r="E35" s="35" t="str">
        <f>IF(B35="","",SUMIFS('Tableau d''amortissement'!$F$18:$F$377,'Tableau d''amortissement'!$B$18:$B$377,"&gt;="&amp;DATE(B35,1,1),'Tableau d''amortissement'!$B$18:$B$377,"&lt;="&amp;DATE(B35,12,31)))</f>
        <v/>
      </c>
      <c r="F35" s="35" t="str">
        <f>IF(B35="","",C35+D35+E35)</f>
        <v/>
      </c>
      <c r="G35" s="35" t="str">
        <f>IF(B35="","",'Tableau d''amortissement'!$C$7-SUMIFS('Tableau d''amortissement'!$E$18:$E$377,'Tableau d''amortissement'!$B$18:$B$377,"&lt;="&amp;DATE(B35,12,31)))</f>
        <v/>
      </c>
    </row>
    <row r="36">
      <c r="B36" s="27" t="str">
        <f>IF(YEAR('Tableau d''amortissement'!$C$10)+29&gt;YEAR('Tableau d''amortissement'!$G$13),"",YEAR('Tableau d''amortissement'!$C$10)+29)</f>
        <v/>
      </c>
      <c r="C36" s="35" t="str">
        <f>IF(B36="","",SUMIFS('Tableau d''amortissement'!$D$18:$D$377,'Tableau d''amortissement'!$B$18:$B$377,"&gt;="&amp;DATE(B36,1,1),'Tableau d''amortissement'!$B$18:$B$377,"&lt;="&amp;DATE(B36,12,31)))</f>
        <v/>
      </c>
      <c r="D36" s="35" t="str">
        <f>IF(B36="","",SUMIFS('Tableau d''amortissement'!$E$18:$E$377,'Tableau d''amortissement'!$B$18:$B$377,"&gt;="&amp;DATE(B36,1,1),'Tableau d''amortissement'!$B$18:$B$377,"&lt;="&amp;DATE(B36,12,31)))</f>
        <v/>
      </c>
      <c r="E36" s="35" t="str">
        <f>IF(B36="","",SUMIFS('Tableau d''amortissement'!$F$18:$F$377,'Tableau d''amortissement'!$B$18:$B$377,"&gt;="&amp;DATE(B36,1,1),'Tableau d''amortissement'!$B$18:$B$377,"&lt;="&amp;DATE(B36,12,31)))</f>
        <v/>
      </c>
      <c r="F36" s="35" t="str">
        <f>IF(B36="","",C36+D36+E36)</f>
        <v/>
      </c>
      <c r="G36" s="35" t="str">
        <f>IF(B36="","",'Tableau d''amortissement'!$C$7-SUMIFS('Tableau d''amortissement'!$E$18:$E$377,'Tableau d''amortissement'!$B$18:$B$377,"&lt;="&amp;DATE(B36,12,31)))</f>
        <v/>
      </c>
    </row>
    <row r="37">
      <c r="B37" s="27" t="str">
        <f>IF(YEAR('Tableau d''amortissement'!$C$10)+30&gt;YEAR('Tableau d''amortissement'!$G$13),"",YEAR('Tableau d''amortissement'!$C$10)+30)</f>
        <v/>
      </c>
      <c r="C37" s="35" t="str">
        <f>IF(B37="","",SUMIFS('Tableau d''amortissement'!$D$18:$D$377,'Tableau d''amortissement'!$B$18:$B$377,"&gt;="&amp;DATE(B37,1,1),'Tableau d''amortissement'!$B$18:$B$377,"&lt;="&amp;DATE(B37,12,31)))</f>
        <v/>
      </c>
      <c r="D37" s="35" t="str">
        <f>IF(B37="","",SUMIFS('Tableau d''amortissement'!$E$18:$E$377,'Tableau d''amortissement'!$B$18:$B$377,"&gt;="&amp;DATE(B37,1,1),'Tableau d''amortissement'!$B$18:$B$377,"&lt;="&amp;DATE(B37,12,31)))</f>
        <v/>
      </c>
      <c r="E37" s="35" t="str">
        <f>IF(B37="","",SUMIFS('Tableau d''amortissement'!$F$18:$F$377,'Tableau d''amortissement'!$B$18:$B$377,"&gt;="&amp;DATE(B37,1,1),'Tableau d''amortissement'!$B$18:$B$377,"&lt;="&amp;DATE(B37,12,31)))</f>
        <v/>
      </c>
      <c r="F37" s="35" t="str">
        <f>IF(B37="","",C37+D37+E37)</f>
        <v/>
      </c>
      <c r="G37" s="35" t="str">
        <f>IF(B37="","",'Tableau d''amortissement'!$C$7-SUMIFS('Tableau d''amortissement'!$E$18:$E$377,'Tableau d''amortissement'!$B$18:$B$377,"&lt;="&amp;DATE(B37,12,31)))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Modèle de tableau d'amortissement</dc:title>
  <dcterms:created xmlns:dcterms="http://purl.org/dc/terms/" xmlns:xsi="http://www.w3.org/2001/XMLSchema-instance" xsi:type="dcterms:W3CDTF">2026-10-14T09:31:47Z</dcterms:created>
  <dcterms:modified xmlns:dcterms="http://purl.org/dc/terms/" xmlns:xsi="http://www.w3.org/2001/XMLSchema-instance" xsi:type="dcterms:W3CDTF">2026-10-14T09:31:47Z</dcterms:modified>
</cp:coreProperties>
</file>